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2"/>
  </bookViews>
  <sheets>
    <sheet name="Krycí list rozpočtu" sheetId="1" r:id="rId1"/>
    <sheet name="VORN" sheetId="2" r:id="rId2"/>
    <sheet name="Stavební rozpočet - součet" sheetId="3" r:id="rId3"/>
    <sheet name="Stavební rozpočet" sheetId="4" r:id="rId4"/>
    <sheet name="Výkaz výměr" sheetId="5" r:id="rId5"/>
    <sheet name="Elektro" sheetId="6" r:id="rId6"/>
    <sheet name="NÁVOD K VYPLNĚNÍ" sheetId="7" r:id="rId7"/>
  </sheets>
  <definedNames>
    <definedName name="vorn_sum">'VORN'!$I$39:$I$39</definedName>
  </definedNames>
  <calcPr fullCalcOnLoad="1"/>
</workbook>
</file>

<file path=xl/sharedStrings.xml><?xml version="1.0" encoding="utf-8"?>
<sst xmlns="http://schemas.openxmlformats.org/spreadsheetml/2006/main" count="2579" uniqueCount="700">
  <si>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</si>
  <si>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</si>
  <si>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</si>
  <si>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</si>
  <si>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</si>
  <si>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</si>
  <si>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</si>
  <si>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</si>
  <si>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</si>
  <si>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</si>
  <si>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</si>
  <si>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</si>
  <si>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</si>
  <si>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</si>
  <si>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</si>
  <si>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</si>
  <si>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</si>
  <si>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</si>
  <si>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</si>
  <si>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</si>
  <si>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</si>
  <si>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</si>
  <si>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</si>
  <si>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</si>
  <si>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</si>
  <si>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</si>
  <si>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</si>
  <si>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</si>
  <si>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</si>
  <si>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</si>
  <si>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</si>
  <si>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</si>
  <si>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</si>
  <si>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</si>
  <si>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</si>
  <si>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</si>
  <si>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</si>
  <si>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</si>
  <si>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</si>
  <si>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</si>
  <si>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</si>
  <si>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</si>
  <si>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</si>
  <si>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</si>
  <si>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</si>
  <si>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</si>
  <si>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</si>
  <si>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</si>
  <si>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</si>
  <si>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</si>
  <si>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</si>
  <si>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</si>
  <si>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</si>
  <si>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</si>
  <si>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</si>
  <si>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</si>
  <si>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</si>
  <si>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</si>
  <si>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</si>
  <si>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</si>
  <si>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</si>
  <si>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</si>
  <si>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</si>
  <si>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</si>
  <si>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</si>
  <si>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</si>
  <si>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</si>
  <si>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</si>
  <si>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</si>
  <si>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</si>
  <si>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</si>
  <si>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</si>
  <si>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</si>
  <si>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</si>
  <si>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</si>
  <si>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</si>
  <si>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</si>
  <si>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</si>
  <si>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</si>
  <si>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</si>
  <si>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</si>
  <si>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</si>
  <si>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</si>
  <si>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</si>
  <si>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</si>
  <si>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</si>
  <si>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</si>
  <si>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</si>
  <si>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</si>
  <si>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</si>
  <si>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</si>
  <si>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</si>
  <si>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</si>
  <si>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</si>
  <si>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</si>
  <si>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</si>
  <si>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</si>
  <si>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</si>
  <si>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</si>
  <si>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</si>
  <si>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</si>
  <si>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</si>
  <si>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</si>
  <si>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</si>
  <si>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</si>
  <si>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</si>
  <si>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</si>
  <si>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</si>
  <si>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</si>
  <si>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</si>
  <si>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</si>
  <si>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</si>
  <si>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</si>
  <si>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</si>
  <si>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</si>
  <si>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</si>
  <si>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</si>
  <si>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</si>
  <si>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</si>
  <si>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</si>
  <si>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</si>
  <si>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Poznámka:</t>
  </si>
  <si>
    <t>Kód</t>
  </si>
  <si>
    <t>342256351R00</t>
  </si>
  <si>
    <t>612403399RT2</t>
  </si>
  <si>
    <t>612451121R00</t>
  </si>
  <si>
    <t>612471411RT2</t>
  </si>
  <si>
    <t>632451236R00</t>
  </si>
  <si>
    <t>642944121R00</t>
  </si>
  <si>
    <t>553306300</t>
  </si>
  <si>
    <t>553306301</t>
  </si>
  <si>
    <t>998011031R00</t>
  </si>
  <si>
    <t>721</t>
  </si>
  <si>
    <t>721176102R00</t>
  </si>
  <si>
    <t>721176103R00</t>
  </si>
  <si>
    <t>721176104R00</t>
  </si>
  <si>
    <t>721176105R00</t>
  </si>
  <si>
    <t>721176116R00</t>
  </si>
  <si>
    <t>721194104R00</t>
  </si>
  <si>
    <t>721194105RM1</t>
  </si>
  <si>
    <t>721194109R00</t>
  </si>
  <si>
    <t>721290111R00</t>
  </si>
  <si>
    <t>721110916R00</t>
  </si>
  <si>
    <t>998721101R00</t>
  </si>
  <si>
    <t>722</t>
  </si>
  <si>
    <t>722172331R00</t>
  </si>
  <si>
    <t>722172917R00</t>
  </si>
  <si>
    <t>722181212R00</t>
  </si>
  <si>
    <t>722181215R00</t>
  </si>
  <si>
    <t>722190401R00</t>
  </si>
  <si>
    <t>722202412R00</t>
  </si>
  <si>
    <t>722202422R00</t>
  </si>
  <si>
    <t>722202423R00</t>
  </si>
  <si>
    <t>722220111R00</t>
  </si>
  <si>
    <t>722231162R00</t>
  </si>
  <si>
    <t>722290234R00</t>
  </si>
  <si>
    <t>722280106R00</t>
  </si>
  <si>
    <t>722280109R00</t>
  </si>
  <si>
    <t>722280108R00</t>
  </si>
  <si>
    <t>722237621R00</t>
  </si>
  <si>
    <t>722238312R00</t>
  </si>
  <si>
    <t>722170801R00</t>
  </si>
  <si>
    <t>722130803R00</t>
  </si>
  <si>
    <t>722130804R00</t>
  </si>
  <si>
    <t>722202426R00</t>
  </si>
  <si>
    <t>722202427R00</t>
  </si>
  <si>
    <t>722235141R00</t>
  </si>
  <si>
    <t>998722101R00</t>
  </si>
  <si>
    <t>725</t>
  </si>
  <si>
    <t>725017138R00</t>
  </si>
  <si>
    <t>725017132R00</t>
  </si>
  <si>
    <t>725017153R00</t>
  </si>
  <si>
    <t>725013165R00</t>
  </si>
  <si>
    <t>725122231R00</t>
  </si>
  <si>
    <t>725823111RT1</t>
  </si>
  <si>
    <t>725860211R00</t>
  </si>
  <si>
    <t>725RB001VD</t>
  </si>
  <si>
    <t>725RB002VD</t>
  </si>
  <si>
    <t>725RB003VD</t>
  </si>
  <si>
    <t>725RB004VD</t>
  </si>
  <si>
    <t>725RB005VD</t>
  </si>
  <si>
    <t>725RB010VD</t>
  </si>
  <si>
    <t>725860215R00</t>
  </si>
  <si>
    <t>725291123R00</t>
  </si>
  <si>
    <t>725291146R00</t>
  </si>
  <si>
    <t>998725101R00</t>
  </si>
  <si>
    <t>728</t>
  </si>
  <si>
    <t>728114111R00</t>
  </si>
  <si>
    <t>725RB009VD</t>
  </si>
  <si>
    <t>728415111R00</t>
  </si>
  <si>
    <t>735</t>
  </si>
  <si>
    <t>735110911R00</t>
  </si>
  <si>
    <t>735121810R00</t>
  </si>
  <si>
    <t>735129140R00</t>
  </si>
  <si>
    <t>998735101R00</t>
  </si>
  <si>
    <t>766</t>
  </si>
  <si>
    <t>766622277R14VD</t>
  </si>
  <si>
    <t>998766101R00</t>
  </si>
  <si>
    <t>767</t>
  </si>
  <si>
    <t>767586102RT1</t>
  </si>
  <si>
    <t>767586201R00</t>
  </si>
  <si>
    <t>767RB001VD</t>
  </si>
  <si>
    <t>767995R001VD</t>
  </si>
  <si>
    <t>998767101R00</t>
  </si>
  <si>
    <t>771</t>
  </si>
  <si>
    <t>771101210RT1</t>
  </si>
  <si>
    <t>771575109R00</t>
  </si>
  <si>
    <t>59764203</t>
  </si>
  <si>
    <t>998771101R00</t>
  </si>
  <si>
    <t>781</t>
  </si>
  <si>
    <t>781101121R00</t>
  </si>
  <si>
    <t>597813700</t>
  </si>
  <si>
    <t>781415015R00</t>
  </si>
  <si>
    <t>998781101R00</t>
  </si>
  <si>
    <t>783</t>
  </si>
  <si>
    <t>783122111RT5</t>
  </si>
  <si>
    <t>784</t>
  </si>
  <si>
    <t>784111101R00</t>
  </si>
  <si>
    <t>784422271R00</t>
  </si>
  <si>
    <t>784402801R00</t>
  </si>
  <si>
    <t>941955004R00</t>
  </si>
  <si>
    <t>952901111R00</t>
  </si>
  <si>
    <t>953981402R00</t>
  </si>
  <si>
    <t>767daVD</t>
  </si>
  <si>
    <t>767dbVD</t>
  </si>
  <si>
    <t>968061125R00</t>
  </si>
  <si>
    <t>962031132R00</t>
  </si>
  <si>
    <t>965081713R00</t>
  </si>
  <si>
    <t>968072455R00</t>
  </si>
  <si>
    <t>969011121R00</t>
  </si>
  <si>
    <t>969021111R00</t>
  </si>
  <si>
    <t>965043321RT1</t>
  </si>
  <si>
    <t>978059531R00</t>
  </si>
  <si>
    <t>971035451R00</t>
  </si>
  <si>
    <t>971033331R00</t>
  </si>
  <si>
    <t>972054341R00</t>
  </si>
  <si>
    <t>974031144R00</t>
  </si>
  <si>
    <t>974031142R00</t>
  </si>
  <si>
    <t>978013161R00</t>
  </si>
  <si>
    <t>M21</t>
  </si>
  <si>
    <t>210VD</t>
  </si>
  <si>
    <t>S</t>
  </si>
  <si>
    <t>979082111R00</t>
  </si>
  <si>
    <t>979083117R00</t>
  </si>
  <si>
    <t>979088212R00</t>
  </si>
  <si>
    <t>979990001R00</t>
  </si>
  <si>
    <t>979083191R00</t>
  </si>
  <si>
    <t>Školní budova</t>
  </si>
  <si>
    <t>st. 2729, v k.ú. Aš</t>
  </si>
  <si>
    <t>Zkrácený popis</t>
  </si>
  <si>
    <t>Rozměry</t>
  </si>
  <si>
    <t>Stěny a příčky</t>
  </si>
  <si>
    <t>Příčka z tvárnic porobet. tl. 50 mm hlad. P2,5-450</t>
  </si>
  <si>
    <t>2*3,46*0,4</t>
  </si>
  <si>
    <t>Úprava povrchů vnitřní</t>
  </si>
  <si>
    <t>Hrubá výplň rýh ve stěnách maltou</t>
  </si>
  <si>
    <t>0,15*(2*0,9+2,13+2,6)</t>
  </si>
  <si>
    <t>1+1,5</t>
  </si>
  <si>
    <t>Omítka vnitřní zdiva, cementová (MC), hladká</t>
  </si>
  <si>
    <t>59,394</t>
  </si>
  <si>
    <t>Úprava vnitřních stěn aktivovaným štukem</t>
  </si>
  <si>
    <t>1,2*(2*1,72+2*1,45+2*2,83+2*2,8)</t>
  </si>
  <si>
    <t>1,2*(2*1,45+2*1,7+2*2,8+2*3,02)</t>
  </si>
  <si>
    <t>Podlahy a podlahové konstrukce</t>
  </si>
  <si>
    <t>Potěr pískocementový hlazený ocel. hlad. tl. 50 mm</t>
  </si>
  <si>
    <t>2,49+8,25+2,46+8,37</t>
  </si>
  <si>
    <t>Výplně otvorů</t>
  </si>
  <si>
    <t>Osazení ocelových zárubní dodatečně do 2,5 m2</t>
  </si>
  <si>
    <t>Zárubeň ocelová H 145 DV 600x1970x145 L</t>
  </si>
  <si>
    <t>Zárubeň ocelová H 145 DV 600x1970x145 P</t>
  </si>
  <si>
    <t>Přesun hmot pro budovy z bloků výšky do 6 m</t>
  </si>
  <si>
    <t>Vnitřní kanalizace</t>
  </si>
  <si>
    <t>Potrubí HT připojovací DN 40 x 1,8 mm</t>
  </si>
  <si>
    <t>Potrubí HT připojovací DN 50 x 1,8 mm</t>
  </si>
  <si>
    <t>4+3+3</t>
  </si>
  <si>
    <t>Potrubí HT připojovací DN 70 x 1,9 mm</t>
  </si>
  <si>
    <t>3+2</t>
  </si>
  <si>
    <t>Potrubí HT připojovací DN 100 x 2,7 mm</t>
  </si>
  <si>
    <t>Potrubí HT odpadní svislé DN 125 x 3,1 mm</t>
  </si>
  <si>
    <t>4,5*2</t>
  </si>
  <si>
    <t>Vyvedení odpadních výpustek D 40 x 1,8</t>
  </si>
  <si>
    <t>Vyvedení odpadních výpustek D 50 x 1,8</t>
  </si>
  <si>
    <t>Vyvedení odpadních výpustek D 110 x 2,3</t>
  </si>
  <si>
    <t>Zkouška těsnosti kanalizace vodou DN 125</t>
  </si>
  <si>
    <t>10+5+3+9</t>
  </si>
  <si>
    <t>Oprava - propojení dosavadního potrubí DN 125</t>
  </si>
  <si>
    <t>Přesun hmot pro vnitřní kanalizaci, výšky do 6 m</t>
  </si>
  <si>
    <t>Vnitřní vodovod</t>
  </si>
  <si>
    <t>Potrubí z PPR , D 20/3,4 mm - studená</t>
  </si>
  <si>
    <t>2*5+3+2*7+2*3</t>
  </si>
  <si>
    <t>Propojení plastového potrubí polyf. D 63 mm</t>
  </si>
  <si>
    <t>Izolace návleková tl. stěny 9 mm</t>
  </si>
  <si>
    <t>5+3+7+3</t>
  </si>
  <si>
    <t>Izolace návleková   tl. stěny 25 mm</t>
  </si>
  <si>
    <t>5+7+3</t>
  </si>
  <si>
    <t>Vyvedení a upevnění výpustek DN 15</t>
  </si>
  <si>
    <t>5*2</t>
  </si>
  <si>
    <t>Kohout kulový nerozebíratelný PP-R  D 20</t>
  </si>
  <si>
    <t>Kohout kul. nerozeb.s výpustí PP-R  D 20</t>
  </si>
  <si>
    <t>Kohout kul. nerozeb.s výpustí PP-R  D 25</t>
  </si>
  <si>
    <t>Nástěnka  pro výtokový ventil G 1/2</t>
  </si>
  <si>
    <t>(2+14+13+12)*2</t>
  </si>
  <si>
    <t>1+8+8+10</t>
  </si>
  <si>
    <t>(2+2+2)*2</t>
  </si>
  <si>
    <t>3*4</t>
  </si>
  <si>
    <t>Ventil pojistný pružinový P10-237-616, G 3/4</t>
  </si>
  <si>
    <t>Proplach a dezinfekce vodovod.potrubí DN 80</t>
  </si>
  <si>
    <t>326+20,8+38</t>
  </si>
  <si>
    <t>Tlaková zkouška vodovodního potrubí DN 32</t>
  </si>
  <si>
    <t>213,9+22,7</t>
  </si>
  <si>
    <t>89,4</t>
  </si>
  <si>
    <t>Tlaková zkouška vodovodního potrubí DN 65</t>
  </si>
  <si>
    <t>Tlaková zkouška vodovodního potrubí DN 50</t>
  </si>
  <si>
    <t>20,8</t>
  </si>
  <si>
    <t>Ventil rohový , DN 15</t>
  </si>
  <si>
    <t>Ventil rohový pračkový DN 15</t>
  </si>
  <si>
    <t>Potrubí z PPR  D 20/3,4 mm - teplá</t>
  </si>
  <si>
    <t>5,8+1,8+2+1</t>
  </si>
  <si>
    <t>1,4+0,6+3,8+0,4*3+3,8+0,4*3+4,2+0,4</t>
  </si>
  <si>
    <t>3,2+0,4*3+1,4+0,6+3,2+3*0,4+4,2+0,4+1,4*2</t>
  </si>
  <si>
    <t>3,2+0,4*3+1,4+0,6+3,2+3*0,4+1,2</t>
  </si>
  <si>
    <t>8*4</t>
  </si>
  <si>
    <t>Demontáž rozvodů vody z plastů do D 32</t>
  </si>
  <si>
    <t>213,9</t>
  </si>
  <si>
    <t>Demontáž potrubí ocelových závitových DN 50</t>
  </si>
  <si>
    <t>2,4*2</t>
  </si>
  <si>
    <t>8*2</t>
  </si>
  <si>
    <t>Demontáž potrubí ocelových závitových DN 65</t>
  </si>
  <si>
    <t>Kohout kul. nerozeb.s výpustí PP-R D 50</t>
  </si>
  <si>
    <t>Kohout kul. nerozeb.s výpustí PP-R  D 63</t>
  </si>
  <si>
    <t>Kohout kulový s odvodn. vnitř.-vnitř.z. IVAR DN 15</t>
  </si>
  <si>
    <t>Přesun hmot pro vnitřní vodovod, výšky do 6 m</t>
  </si>
  <si>
    <t>Zařizovací předměty</t>
  </si>
  <si>
    <t>Kryt sifonu umyvadel , bílý</t>
  </si>
  <si>
    <t>Umyvadlo na šrouby  55 x 42 cm, bílé</t>
  </si>
  <si>
    <t>Umyvadlo invalidní  64 x 55 cm, bílé</t>
  </si>
  <si>
    <t>Klozet kombi ,nádrž s armat. odpad.svislý, možnost úsporného splachování</t>
  </si>
  <si>
    <t>Pisoár s radarovým splachovačem, SLP 19RS</t>
  </si>
  <si>
    <t>Baterie umyvadlová stoján. ruční, bez otvír.odpadu</t>
  </si>
  <si>
    <t>Sifon umyvadlový HL133, 5/4 "</t>
  </si>
  <si>
    <t>Dodávka a montáž - Napájecí zdroj pro max 5 urinalů, 24 V</t>
  </si>
  <si>
    <t>Dodávka závěsného uzamykatelnéhu držáku na toaletní papír</t>
  </si>
  <si>
    <t>Dodávka a montáž - zásobník na papírové ručníky</t>
  </si>
  <si>
    <t>Dodávka WC štětky plast s nádobou</t>
  </si>
  <si>
    <t>Dodávka a montáž dávkovače tekutého mýdla</t>
  </si>
  <si>
    <t>Dodávka plastového prkénka k WC - Okr</t>
  </si>
  <si>
    <t>Sifon umyvadlový snížený pro umyvadlo invalidní DN  40</t>
  </si>
  <si>
    <t>Madlo rovné nerez  dl. 800 mm</t>
  </si>
  <si>
    <t>Madlo dvojité sklopné nerez  dl. 813 mm</t>
  </si>
  <si>
    <t>Přesun hmot pro zařizovací předměty, výšky do 6 m</t>
  </si>
  <si>
    <t>Vzduchotechnika</t>
  </si>
  <si>
    <t>Montáž potrubí plastového kruhového do d 100 mm</t>
  </si>
  <si>
    <t>Dodávka  amontáž - Ventilátor s časovým spínačem , čidlem pohybu, kuličkovými ložisky</t>
  </si>
  <si>
    <t>Dodávka a montáž mřížky větrací nebo ventilační do 0,04 m2</t>
  </si>
  <si>
    <t>Potrubí HT připojovací D 110 x 2,7 mm</t>
  </si>
  <si>
    <t>Otopná tělesa</t>
  </si>
  <si>
    <t>Oprava-přetěsnění radiátorové růžice</t>
  </si>
  <si>
    <t>Demontáž otopných těles ocelových článkových</t>
  </si>
  <si>
    <t>0,6*0,6</t>
  </si>
  <si>
    <t>Montáž otopných těles ocelových článkových</t>
  </si>
  <si>
    <t>Přesun hmot pro otopná tělesa, výšky do 6 m</t>
  </si>
  <si>
    <t>Konstrukce truhlářské</t>
  </si>
  <si>
    <t>Dodávka a osazení dveře vnitř.,materiál DTD,povrch HPL, bílá, 1/3 prosklená, nerezové kování klika-klika,cylindr.vložka, Nerezové madlo na šířku.</t>
  </si>
  <si>
    <t>Přesun hmot pro truhlářské konstr., výšky do 6 m</t>
  </si>
  <si>
    <t>Konstrukce doplňkové stavební (zámečnické)</t>
  </si>
  <si>
    <t>Nosný rošt podhledu minerálního 600x600mm dvojitý</t>
  </si>
  <si>
    <t>Podhled minerální 600x600mm ,  al. hrana</t>
  </si>
  <si>
    <t>Dod.a mont.sanitárních příček,výšky 2m, četně 3 ks dveří,nosná konstrukce elox.hliník, ýplně z dřevotřísk.desky V 313, oboostr.potažené LTT, typ LPL24</t>
  </si>
  <si>
    <t>2,83+1,18+1,25+0,9</t>
  </si>
  <si>
    <t>Pisoárové zástěny</t>
  </si>
  <si>
    <t>Přesun hmot pro zámečnické konstr., výšky do 6 m</t>
  </si>
  <si>
    <t>Podlahy z dlaždic</t>
  </si>
  <si>
    <t>Penetrace podkladu pod dlažby</t>
  </si>
  <si>
    <t>Montáž podlah keram.,hladké, flexibilní tmel</t>
  </si>
  <si>
    <t>Dlažba vysoce slinutá dle ČSN EN14 411 Bla UGL. pří.G, Souč.Tření min 0,5, odstín dle investora</t>
  </si>
  <si>
    <t>;ztratné 2%; 0,4314</t>
  </si>
  <si>
    <t>Přesun hmot pro podlahy z dlaždic, výšky do 6 m</t>
  </si>
  <si>
    <t>Obklady (keramické)</t>
  </si>
  <si>
    <t>Provedení penetrace podkladu</t>
  </si>
  <si>
    <t>Obkládačka přírodní odstín do rozměru 250x330 mm</t>
  </si>
  <si>
    <t>;ztratné 3%; 1,78182</t>
  </si>
  <si>
    <t>Montáž obkladů stěn, porovin.,tmel, 20x20,30x15 cm</t>
  </si>
  <si>
    <t>2*(2*1,72+2*1,45+2*2,83+2*2,8)-3*1,8-3,8</t>
  </si>
  <si>
    <t>2*(2*1,45+2*1,7+2*2,8+2*3,02)-3*1,8-3,8</t>
  </si>
  <si>
    <t>1,8*(2*0,8+2,13)</t>
  </si>
  <si>
    <t>Přesun hmot pro obklady keramické, výšky do 6 m</t>
  </si>
  <si>
    <t>Nátěry</t>
  </si>
  <si>
    <t>Nátěr syntetický OK "A" dvojnásobný</t>
  </si>
  <si>
    <t>4*0,25*(1,97*2+0,8)</t>
  </si>
  <si>
    <t>2*0,5*0,7*30</t>
  </si>
  <si>
    <t>Malby</t>
  </si>
  <si>
    <t>Penetrace podkladu nátěrem</t>
  </si>
  <si>
    <t>63,989</t>
  </si>
  <si>
    <t>Malba vápenná 2x, pačok 2x,1barva, místn. do 3,8 m</t>
  </si>
  <si>
    <t>3,1*(5,85+2*1,6)-1,8*(2,13+2*0,8)</t>
  </si>
  <si>
    <t>Odstranění malby oškrábáním v místnosti H do 3,8 m</t>
  </si>
  <si>
    <t>Lešení a stavební výtahy</t>
  </si>
  <si>
    <t>Lešení lehké pomocné, výška podlahy do 3,5 m</t>
  </si>
  <si>
    <t>Různé dokončovací konstrukce a práce na pozemních stavbách</t>
  </si>
  <si>
    <t>Vyčištění budov o výšce podlaží do 4 m</t>
  </si>
  <si>
    <t>2,49+8,25+2,46+8,37+10</t>
  </si>
  <si>
    <t>Chemické kotvy, cihly duté, hl. 85 mm, M10, síťka</t>
  </si>
  <si>
    <t>Dveřní madla pro 600mm, madla pevná k WC a umyvadlům do 800mm, pro těl postižené, nerez</t>
  </si>
  <si>
    <t>Madlo sklopné U  800mm , nerez</t>
  </si>
  <si>
    <t>Bourání konstrukcí</t>
  </si>
  <si>
    <t>Vyvěšení dřevěných dveřních křídel pl. do 2 m2</t>
  </si>
  <si>
    <t>Bourání příček cihelných tl. 10 cm</t>
  </si>
  <si>
    <t>2,5*(2,04+2*1,4+2*0,25+1,56+0,9)</t>
  </si>
  <si>
    <t>1,5*(1,7+1,6)+0,35*1,5*(1+1,25)</t>
  </si>
  <si>
    <t>Bourání dlaždic keramických tl. 1 cm, nad 1 m2</t>
  </si>
  <si>
    <t>Vybourání kovových dveřních zárubní pl. do 2 m2</t>
  </si>
  <si>
    <t>Vybourání vodovod., plynového vedení DN do 52 mm</t>
  </si>
  <si>
    <t>Vybourání kanalizačního potrubí DN do 100 mm</t>
  </si>
  <si>
    <t>Bourání podkladů bet., potěr, tl, 10 cm, pl. 1 m2</t>
  </si>
  <si>
    <t>0,05*(2,49+8,25+2,46+8,37)</t>
  </si>
  <si>
    <t>Prorážení otvorů a ostatní bourací práce</t>
  </si>
  <si>
    <t>Odsekání vnitřních obkladů stěn nad 2 m2</t>
  </si>
  <si>
    <t>1,5*(2*1,72+2*1,45+4*1,4+2*0,92)-2*1,8-2*1,4</t>
  </si>
  <si>
    <t>1,5*(2*1,7+2*1,45+2,77+2,8) -3*1,8-1,4</t>
  </si>
  <si>
    <t>1,5*(2*0,75+2,13)</t>
  </si>
  <si>
    <t>Vybourání otv. zeď cihel. pl.0,25 m2, tl.45 cm, MC</t>
  </si>
  <si>
    <t>Vybourání otv. zeď cihel. pl.0,09 m2, tl.15cm, MVC</t>
  </si>
  <si>
    <t>Vybourání otv. stropy ŽB pl. 0,25 m2, tl. 15 cm</t>
  </si>
  <si>
    <t>Vysekání rýh ve zdi cihelné 7 x 15 cm</t>
  </si>
  <si>
    <t>2*0,9+2,13+2,6</t>
  </si>
  <si>
    <t>Vysekání rýh ve zdi cihelné 7 x 7 cm</t>
  </si>
  <si>
    <t>Otlučení omítek vnitřních stěn v rozsahu do 50 %</t>
  </si>
  <si>
    <t>3,1*(2*1,72+2*1,45+2*2,83+2*2,8)-3*1,8-3,8</t>
  </si>
  <si>
    <t>3,1*(2*1,45+2*1,7+2*2,8+2*3,02)-3*1,8-3,8</t>
  </si>
  <si>
    <t>Elektromontáže</t>
  </si>
  <si>
    <t>Přenos D.1.4 Silnoproudá elektrotechnika</t>
  </si>
  <si>
    <t>Přesuny sutí</t>
  </si>
  <si>
    <t>Vnitrostaveništní doprava suti do 10 m</t>
  </si>
  <si>
    <t>11,66993</t>
  </si>
  <si>
    <t>Vodorovné přemístění suti na skládku do 6000 m</t>
  </si>
  <si>
    <t>Nakládání suti na dopravní prostředky</t>
  </si>
  <si>
    <t>Poplatek za skládku stavební suti</t>
  </si>
  <si>
    <t>Příplatek za dalších započatých 1000 m nad 6000 m</t>
  </si>
  <si>
    <t>11,66993*16</t>
  </si>
  <si>
    <t>Obezdívky kanalizace, viz výkres 02</t>
  </si>
  <si>
    <t>Vodovod, viz výkres 04</t>
  </si>
  <si>
    <t>Kanalizace, viz výkres 03</t>
  </si>
  <si>
    <t>pod obklady, viz pol. 781415015R00</t>
  </si>
  <si>
    <t>WC- Ž, viz výkres 02</t>
  </si>
  <si>
    <t>WC- M, viz výkres 02</t>
  </si>
  <si>
    <t>Podlaha, viz výkres 02</t>
  </si>
  <si>
    <t>viz výkres 02</t>
  </si>
  <si>
    <t>TZ, viz výkres 03</t>
  </si>
  <si>
    <t>Umyvadla, viz výkres 03</t>
  </si>
  <si>
    <t>Pisoáry, viz výkres 03</t>
  </si>
  <si>
    <t>WC, viz výkres 03</t>
  </si>
  <si>
    <t>stoupací potrubí 1, 2</t>
  </si>
  <si>
    <t>Napojení na stáv potrubí  - 1PP</t>
  </si>
  <si>
    <t>Vodovod - studená, viz výkres 04</t>
  </si>
  <si>
    <t>Vodovod - teplá, viz výkres 04</t>
  </si>
  <si>
    <t>Umyvydla</t>
  </si>
  <si>
    <t>WC</t>
  </si>
  <si>
    <t>Pisoáry</t>
  </si>
  <si>
    <t>1NP</t>
  </si>
  <si>
    <t>2NP</t>
  </si>
  <si>
    <t>3NP</t>
  </si>
  <si>
    <t>1PP</t>
  </si>
  <si>
    <t>Výlevky</t>
  </si>
  <si>
    <t>Pračka</t>
  </si>
  <si>
    <t>Vana</t>
  </si>
  <si>
    <t>Dřez</t>
  </si>
  <si>
    <t>Elektrický teplovodní zásobník</t>
  </si>
  <si>
    <t>potrubí</t>
  </si>
  <si>
    <t>studená</t>
  </si>
  <si>
    <t>teplá</t>
  </si>
  <si>
    <t>Stoupací potrubí A, B, C, D</t>
  </si>
  <si>
    <t>studená a teplá 1/2</t>
  </si>
  <si>
    <t>Stoupací potrubí B,C</t>
  </si>
  <si>
    <t>rohový ventil - Umyvydla</t>
  </si>
  <si>
    <t>rohový ventil - WC</t>
  </si>
  <si>
    <t>rohový ventil - Pisoáry</t>
  </si>
  <si>
    <t>Umyvadla</t>
  </si>
  <si>
    <t xml:space="preserve"> viz výkres 04</t>
  </si>
  <si>
    <t xml:space="preserve"> viz výkres 05</t>
  </si>
  <si>
    <t xml:space="preserve"> VZT- viz výkres 05</t>
  </si>
  <si>
    <t>TZ, viz výkres 02</t>
  </si>
  <si>
    <t>Podhled, viz výkres 02</t>
  </si>
  <si>
    <t xml:space="preserve"> viz výkres 02</t>
  </si>
  <si>
    <t>viz.781415015R00</t>
  </si>
  <si>
    <t>Vstupní hala, viz výkres 02</t>
  </si>
  <si>
    <t>4ks zárubní viz výkres 02</t>
  </si>
  <si>
    <t>2 ks radiátorů, viz výkres 02</t>
  </si>
  <si>
    <t>viz.784422271R00</t>
  </si>
  <si>
    <t>Vstup. hala stěna přilehlá k hyg. zařízením, viz výkr.02</t>
  </si>
  <si>
    <t>Madla, kabinky pro invalidy</t>
  </si>
  <si>
    <t>viz výkres 01</t>
  </si>
  <si>
    <t>Příčky WC, viz výkres 01</t>
  </si>
  <si>
    <t>Přizdívky pisoár, viz výkres 01</t>
  </si>
  <si>
    <t>Podlaha, viz výkres 01</t>
  </si>
  <si>
    <t>WC-Ž, viz výkres 01</t>
  </si>
  <si>
    <t>WC-M,viz výkres 01</t>
  </si>
  <si>
    <t>Vstupní hala, viz výkres 01</t>
  </si>
  <si>
    <t>VZT, viz výkres 05</t>
  </si>
  <si>
    <t>Kanalizace, viz výkres 04</t>
  </si>
  <si>
    <t>suť</t>
  </si>
  <si>
    <t>Doba výstavby:</t>
  </si>
  <si>
    <t>Začátek výstavby:</t>
  </si>
  <si>
    <t>Konec výstavby:</t>
  </si>
  <si>
    <t>Zpracováno dne:</t>
  </si>
  <si>
    <t>MJ</t>
  </si>
  <si>
    <t>m2</t>
  </si>
  <si>
    <t>kus</t>
  </si>
  <si>
    <t>t</t>
  </si>
  <si>
    <t>m</t>
  </si>
  <si>
    <t>soubor</t>
  </si>
  <si>
    <t>ks</t>
  </si>
  <si>
    <t>m3</t>
  </si>
  <si>
    <t>Množství</t>
  </si>
  <si>
    <t>09.04.2022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</si>
  <si>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</si>
  <si>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</si>
  <si>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</si>
  <si>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</si>
  <si>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</si>
  <si>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</si>
  <si>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</si>
  <si>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</si>
  <si>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</si>
  <si>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Gymnázium Aš, příspěvková organizace</t>
  </si>
  <si>
    <t>Ing. Jaroslav Radovnický, č. autorizace 0300589</t>
  </si>
  <si>
    <t> </t>
  </si>
  <si>
    <t>Ing. Jaroslav Radovnický</t>
  </si>
  <si>
    <t>Montáž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</si>
  <si>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</si>
  <si>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</si>
  <si>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</si>
  <si>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</si>
  <si>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</si>
  <si>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</si>
  <si>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</si>
  <si>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</si>
  <si>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</si>
  <si>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</si>
  <si>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</si>
  <si>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</si>
  <si>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</si>
  <si>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</si>
  <si>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</si>
  <si>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</si>
  <si>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63_</t>
  </si>
  <si>
    <t>64_</t>
  </si>
  <si>
    <t>721_</t>
  </si>
  <si>
    <t>722_</t>
  </si>
  <si>
    <t>725_</t>
  </si>
  <si>
    <t>728_</t>
  </si>
  <si>
    <t>735_</t>
  </si>
  <si>
    <t>766_</t>
  </si>
  <si>
    <t>767_</t>
  </si>
  <si>
    <t>771_</t>
  </si>
  <si>
    <t>781_</t>
  </si>
  <si>
    <t>783_</t>
  </si>
  <si>
    <t>784_</t>
  </si>
  <si>
    <t>94_</t>
  </si>
  <si>
    <t>95_</t>
  </si>
  <si>
    <t>96_</t>
  </si>
  <si>
    <t>97_</t>
  </si>
  <si>
    <t>M21_</t>
  </si>
  <si>
    <t>S_</t>
  </si>
  <si>
    <t>3_</t>
  </si>
  <si>
    <t>6_</t>
  </si>
  <si>
    <t>72_</t>
  </si>
  <si>
    <t>73_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</si>
  <si>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</si>
  <si>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</si>
  <si>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</si>
  <si>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</si>
  <si>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</si>
  <si>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</si>
  <si>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</si>
  <si>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</si>
  <si>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</si>
  <si>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</si>
  <si>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</si>
  <si>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</si>
  <si>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</si>
  <si>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</si>
  <si>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</si>
  <si>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</si>
  <si>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</si>
  <si>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</si>
  <si>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</si>
  <si>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</si>
  <si>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</si>
  <si>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</si>
  <si>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</si>
  <si>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</si>
  <si>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</si>
  <si>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</si>
  <si>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</si>
  <si>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</si>
  <si>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</si>
  <si>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</si>
  <si>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</si>
  <si>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</si>
  <si>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</si>
  <si>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</si>
  <si>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</si>
  <si>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</si>
  <si>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</si>
  <si>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</si>
  <si>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</si>
  <si>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</si>
  <si>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</si>
  <si>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</si>
  <si>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</si>
  <si>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</si>
  <si>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</si>
  <si>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</si>
  <si>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</si>
  <si>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</si>
  <si>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</si>
  <si>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</si>
  <si>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</si>
  <si>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</si>
  <si>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</si>
  <si>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</si>
  <si>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</si>
  <si>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</si>
  <si>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</si>
  <si>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</si>
  <si>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</si>
  <si>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</si>
  <si>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</si>
  <si>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47723416/</t>
  </si>
  <si>
    <t>4612346/CZ6403231483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</si>
  <si>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</si>
  <si>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</si>
  <si>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</si>
  <si>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</si>
  <si>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</si>
  <si>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</si>
  <si>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</si>
  <si>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</si>
  <si>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</si>
  <si>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</si>
  <si>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</si>
  <si>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</si>
  <si>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Koordinační a kompletační činnost dodavatele</t>
  </si>
  <si>
    <t>Náklady na veškeré energie související s realizací akce</t>
  </si>
  <si>
    <t>Další potřebné revize a zkoušky.</t>
  </si>
  <si>
    <t>Další poplatky za dopravu a skládkovné.</t>
  </si>
  <si>
    <t>Zpracování dokumentaceskutečného provedení stavby</t>
  </si>
  <si>
    <t>Opatření k zajištění bezpečnosti účastníků realizace akce a veřejnosti (zejména zajištění staveniště, bezpečnostní tabulky)</t>
  </si>
  <si>
    <t>10.05.2022</t>
  </si>
  <si>
    <t>10.5.2022</t>
  </si>
  <si>
    <t>SPECIFIKACE</t>
  </si>
  <si>
    <t>Název akce:</t>
  </si>
  <si>
    <t>Místo stavby:</t>
  </si>
  <si>
    <t>Kú Aš , st.p.č. 2731</t>
  </si>
  <si>
    <t>Kraj:</t>
  </si>
  <si>
    <t>Karlovarský</t>
  </si>
  <si>
    <t>Stupeň:</t>
  </si>
  <si>
    <t>DPS</t>
  </si>
  <si>
    <t>Číslo zakázky:</t>
  </si>
  <si>
    <t>220303</t>
  </si>
  <si>
    <t>Část:</t>
  </si>
  <si>
    <t>D.1.4 Silnoproudá elektrotechnika</t>
  </si>
  <si>
    <t>Investor:</t>
  </si>
  <si>
    <t>Gymnázium Aš, příspěvková organizace, Hlavní 2514/106, 35201 A</t>
  </si>
  <si>
    <t>č.p.</t>
  </si>
  <si>
    <t>Popis</t>
  </si>
  <si>
    <t>Poč.</t>
  </si>
  <si>
    <t>Kč/MJ</t>
  </si>
  <si>
    <t>Celkem [Kč]</t>
  </si>
  <si>
    <r>
      <t>stáv. RS - úprava a doplnění rozvodnice</t>
    </r>
    <r>
      <rPr>
        <vertAlign val="superscript"/>
        <sz val="10"/>
        <rFont val="Arial"/>
        <family val="2"/>
      </rPr>
      <t>1)</t>
    </r>
  </si>
  <si>
    <t>Sdělovací kabel J-Y(St)Y 3 x 2 x 0,8 mm</t>
  </si>
  <si>
    <t>drobný materiál</t>
  </si>
  <si>
    <t>kpl</t>
  </si>
  <si>
    <r>
      <t xml:space="preserve">montáž </t>
    </r>
    <r>
      <rPr>
        <vertAlign val="superscript"/>
        <sz val="10"/>
        <rFont val="Arial"/>
        <family val="2"/>
      </rPr>
      <t>2)</t>
    </r>
  </si>
  <si>
    <t>demontáž</t>
  </si>
  <si>
    <t>revize</t>
  </si>
  <si>
    <t>zákres</t>
  </si>
  <si>
    <t xml:space="preserve">                                          CELKEM BEZ DPH</t>
  </si>
  <si>
    <t xml:space="preserve"> 1) podle výkresu "Schéma úprav zapojení RS".</t>
  </si>
  <si>
    <t xml:space="preserve"> 2) Obsahuje montáž rozvodů silnoproudého zařízení (úprava rozvaděče, kabely, osvětlení, instalační přístroje a zapojení vodičů), nastavení dodávaných elektroinstalačních prvků, štítků a bezpečnostních tabulek a zaškolení obsluhy.</t>
  </si>
  <si>
    <t>3) konkrétní výrobky lze nahradit obdobnými výrobky s minimálně stejnými technickými vlastnostmi</t>
  </si>
  <si>
    <t>Stavební úpravy hygienických zařízení - Jídelna, Gymnázium Aš</t>
  </si>
  <si>
    <t>Stavební úpravy hygienických zařízení - Jídelna  Gymnázium Aš</t>
  </si>
  <si>
    <t>RTS I / 2022</t>
  </si>
  <si>
    <t>Návod k vyplnění:</t>
  </si>
  <si>
    <t>Uchazeč vyplní žlutě zvýrazněné buňky na listu "Stavební rozpočet ", na listu "VORN" a na listu "Elektro"</t>
  </si>
  <si>
    <t xml:space="preserve"> kabel instalační CYKY-J 5x1,5</t>
  </si>
  <si>
    <t xml:space="preserve"> kabel instalační CYKY-J 3x1,5</t>
  </si>
  <si>
    <t xml:space="preserve"> kabel instalační CYKY-O 3x1,5</t>
  </si>
  <si>
    <t>OE3214- 3 typ 68566, 21W/4000K, 2770 lm, CRI&gt;80, LED-1L15C07BT14/027 4000, IP44</t>
  </si>
  <si>
    <t>OF294- 2 typ 59725, 8W/3000K, 970 lm, CRI&gt;80,LED-1L27C03DU12/125 B 4000, IP43</t>
  </si>
  <si>
    <t xml:space="preserve"> sada pro nouzovou signalizaci,  SI, typ 3280B-C10001 B</t>
  </si>
  <si>
    <t>přístroj spínače jednopólového, řazení 1, 1So typ 3559-A01345</t>
  </si>
  <si>
    <t xml:space="preserve"> krabice přístrojová, typ KU 68-1901</t>
  </si>
  <si>
    <t xml:space="preserve"> krabice s víčkem, typ KU 68-1902</t>
  </si>
  <si>
    <t xml:space="preserve"> bezšroubová svorka 5x0,2-4, typ 221-415</t>
  </si>
  <si>
    <t xml:space="preserve"> bezšroubová svorka 3x0,2-4, typ 221-413</t>
  </si>
  <si>
    <t>kryt jednoduchý, bílá, typ 3558A-A651 B</t>
  </si>
  <si>
    <t xml:space="preserve"> přístrojový rámeček jednonásobný, bílá, typ 3901A-B10 B</t>
  </si>
  <si>
    <t>stropní pohybové čidlo typ LX28B-bílá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</si>
</sst>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6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i/>
      <sz val="9"/>
      <color indexed="63"/>
      <name val="Arial"/>
      <family val="0"/>
    </font>
    <font>
      <i/>
      <sz val="9"/>
      <color indexed="50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9" fontId="16" fillId="34" borderId="34" xfId="0" applyNumberFormat="1" applyFont="1" applyFill="1" applyBorder="1" applyAlignment="1" applyProtection="1">
      <alignment horizontal="center" vertical="center"/>
      <protection/>
    </xf>
    <xf numFmtId="49" fontId="17" fillId="0" borderId="35" xfId="0" applyNumberFormat="1" applyFont="1" applyFill="1" applyBorder="1" applyAlignment="1" applyProtection="1">
      <alignment horizontal="left" vertical="center"/>
      <protection/>
    </xf>
    <xf numFmtId="49" fontId="17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8" fillId="0" borderId="34" xfId="0" applyNumberFormat="1" applyFont="1" applyFill="1" applyBorder="1" applyAlignment="1" applyProtection="1">
      <alignment horizontal="right" vertical="center"/>
      <protection/>
    </xf>
    <xf numFmtId="49" fontId="18" fillId="0" borderId="34" xfId="0" applyNumberFormat="1" applyFont="1" applyFill="1" applyBorder="1" applyAlignment="1" applyProtection="1">
      <alignment horizontal="right" vertical="center"/>
      <protection/>
    </xf>
    <xf numFmtId="4" fontId="18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7" fillId="34" borderId="39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49" fontId="3" fillId="0" borderId="42" xfId="0" applyNumberFormat="1" applyFont="1" applyFill="1" applyBorder="1" applyAlignment="1" applyProtection="1">
      <alignment horizontal="right" vertical="center"/>
      <protection/>
    </xf>
    <xf numFmtId="4" fontId="1" fillId="0" borderId="34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right" vertical="center"/>
      <protection/>
    </xf>
    <xf numFmtId="4" fontId="3" fillId="0" borderId="43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4" fontId="0" fillId="0" borderId="50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34" xfId="0" applyFont="1" applyBorder="1" applyAlignment="1">
      <alignment horizontal="center" vertical="center"/>
    </xf>
    <xf numFmtId="4" fontId="0" fillId="0" borderId="54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4" fontId="25" fillId="0" borderId="4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65" fillId="0" borderId="0" xfId="0" applyFont="1" applyAlignment="1">
      <alignment horizontal="justify" vertical="center"/>
    </xf>
    <xf numFmtId="4" fontId="65" fillId="0" borderId="0" xfId="0" applyNumberFormat="1" applyFont="1" applyAlignment="1">
      <alignment horizontal="justify" vertical="center"/>
    </xf>
    <xf numFmtId="4" fontId="1" fillId="35" borderId="34" xfId="0" applyNumberFormat="1" applyFont="1" applyFill="1" applyBorder="1" applyAlignment="1" applyProtection="1">
      <alignment horizontal="right" vertical="center"/>
      <protection locked="0"/>
    </xf>
    <xf numFmtId="4" fontId="1" fillId="35" borderId="23" xfId="0" applyNumberFormat="1" applyFont="1" applyFill="1" applyBorder="1" applyAlignment="1" applyProtection="1">
      <alignment horizontal="right" vertical="center"/>
      <protection locked="0"/>
    </xf>
    <xf numFmtId="4" fontId="5" fillId="35" borderId="0" xfId="0" applyNumberFormat="1" applyFont="1" applyFill="1" applyBorder="1" applyAlignment="1" applyProtection="1">
      <alignment horizontal="right" vertical="center"/>
      <protection locked="0"/>
    </xf>
    <xf numFmtId="4" fontId="6" fillId="35" borderId="0" xfId="0" applyNumberFormat="1" applyFont="1" applyFill="1" applyBorder="1" applyAlignment="1" applyProtection="1">
      <alignment horizontal="right" vertical="center"/>
      <protection locked="0"/>
    </xf>
    <xf numFmtId="4" fontId="0" fillId="35" borderId="49" xfId="0" applyNumberFormat="1" applyFont="1" applyFill="1" applyBorder="1" applyAlignment="1" applyProtection="1">
      <alignment horizontal="right" vertical="center"/>
      <protection locked="0"/>
    </xf>
    <xf numFmtId="4" fontId="0" fillId="35" borderId="52" xfId="0" applyNumberFormat="1" applyFont="1" applyFill="1" applyBorder="1" applyAlignment="1" applyProtection="1">
      <alignment horizontal="right" vertical="center"/>
      <protection locked="0"/>
    </xf>
    <xf numFmtId="4" fontId="0" fillId="35" borderId="52" xfId="0" applyNumberFormat="1" applyFill="1" applyBorder="1" applyAlignment="1" applyProtection="1">
      <alignment horizontal="right" vertical="center"/>
      <protection locked="0"/>
    </xf>
    <xf numFmtId="4" fontId="0" fillId="35" borderId="14" xfId="0" applyNumberFormat="1" applyFont="1" applyFill="1" applyBorder="1" applyAlignment="1" applyProtection="1">
      <alignment horizontal="right" vertical="center"/>
      <protection locked="0"/>
    </xf>
    <xf numFmtId="4" fontId="0" fillId="35" borderId="14" xfId="0" applyNumberFormat="1" applyFont="1" applyFill="1" applyBorder="1" applyAlignment="1" applyProtection="1">
      <alignment/>
      <protection locked="0"/>
    </xf>
    <xf numFmtId="4" fontId="0" fillId="35" borderId="36" xfId="0" applyNumberFormat="1" applyFont="1" applyFill="1" applyBorder="1" applyAlignment="1" applyProtection="1">
      <alignment/>
      <protection locked="0"/>
    </xf>
    <xf numFmtId="4" fontId="0" fillId="35" borderId="52" xfId="0" applyNumberFormat="1" applyFont="1" applyFill="1" applyBorder="1" applyAlignment="1" applyProtection="1">
      <alignment vertical="center"/>
      <protection locked="0"/>
    </xf>
    <xf numFmtId="4" fontId="0" fillId="35" borderId="56" xfId="0" applyNumberFormat="1" applyFont="1" applyFill="1" applyBorder="1" applyAlignment="1" applyProtection="1">
      <alignment vertical="center"/>
      <protection locked="0"/>
    </xf>
    <xf numFmtId="0" fontId="6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57" xfId="0" applyNumberFormat="1" applyFont="1" applyFill="1" applyBorder="1" applyAlignment="1" applyProtection="1">
      <alignment horizontal="left" vertical="center"/>
      <protection/>
    </xf>
    <xf numFmtId="49" fontId="18" fillId="0" borderId="58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59" xfId="0" applyNumberFormat="1" applyFont="1" applyFill="1" applyBorder="1" applyAlignment="1" applyProtection="1">
      <alignment horizontal="left" vertical="center"/>
      <protection/>
    </xf>
    <xf numFmtId="49" fontId="17" fillId="34" borderId="52" xfId="0" applyNumberFormat="1" applyFont="1" applyFill="1" applyBorder="1" applyAlignment="1" applyProtection="1">
      <alignment horizontal="left" vertical="center"/>
      <protection/>
    </xf>
    <xf numFmtId="0" fontId="17" fillId="34" borderId="53" xfId="0" applyNumberFormat="1" applyFont="1" applyFill="1" applyBorder="1" applyAlignment="1" applyProtection="1">
      <alignment horizontal="left" vertical="center"/>
      <protection/>
    </xf>
    <xf numFmtId="49" fontId="18" fillId="0" borderId="60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61" xfId="0" applyNumberFormat="1" applyFont="1" applyFill="1" applyBorder="1" applyAlignment="1" applyProtection="1">
      <alignment horizontal="left" vertical="center"/>
      <protection/>
    </xf>
    <xf numFmtId="49" fontId="17" fillId="0" borderId="52" xfId="0" applyNumberFormat="1" applyFont="1" applyFill="1" applyBorder="1" applyAlignment="1" applyProtection="1">
      <alignment horizontal="left" vertical="center"/>
      <protection/>
    </xf>
    <xf numFmtId="0" fontId="17" fillId="0" borderId="39" xfId="0" applyNumberFormat="1" applyFont="1" applyFill="1" applyBorder="1" applyAlignment="1" applyProtection="1">
      <alignment horizontal="left" vertical="center"/>
      <protection/>
    </xf>
    <xf numFmtId="49" fontId="18" fillId="0" borderId="52" xfId="0" applyNumberFormat="1" applyFont="1" applyFill="1" applyBorder="1" applyAlignment="1" applyProtection="1">
      <alignment horizontal="left" vertical="center"/>
      <protection/>
    </xf>
    <xf numFmtId="0" fontId="18" fillId="0" borderId="39" xfId="0" applyNumberFormat="1" applyFont="1" applyFill="1" applyBorder="1" applyAlignment="1" applyProtection="1">
      <alignment horizontal="left" vertical="center"/>
      <protection/>
    </xf>
    <xf numFmtId="49" fontId="15" fillId="0" borderId="53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center" vertical="center"/>
      <protection/>
    </xf>
    <xf numFmtId="49" fontId="19" fillId="0" borderId="52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6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49" fontId="1" fillId="0" borderId="56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0" fontId="17" fillId="0" borderId="40" xfId="0" applyNumberFormat="1" applyFont="1" applyFill="1" applyBorder="1" applyAlignment="1" applyProtection="1">
      <alignment horizontal="left" vertical="center"/>
      <protection/>
    </xf>
    <xf numFmtId="0" fontId="17" fillId="0" borderId="45" xfId="0" applyNumberFormat="1" applyFont="1" applyFill="1" applyBorder="1" applyAlignment="1" applyProtection="1">
      <alignment horizontal="left" vertical="center"/>
      <protection/>
    </xf>
    <xf numFmtId="4" fontId="17" fillId="0" borderId="44" xfId="0" applyNumberFormat="1" applyFont="1" applyFill="1" applyBorder="1" applyAlignment="1" applyProtection="1">
      <alignment horizontal="right" vertical="center"/>
      <protection/>
    </xf>
    <xf numFmtId="0" fontId="17" fillId="0" borderId="40" xfId="0" applyNumberFormat="1" applyFont="1" applyFill="1" applyBorder="1" applyAlignment="1" applyProtection="1">
      <alignment horizontal="right" vertical="center"/>
      <protection/>
    </xf>
    <xf numFmtId="0" fontId="17" fillId="0" borderId="45" xfId="0" applyNumberFormat="1" applyFont="1" applyFill="1" applyBorder="1" applyAlignment="1" applyProtection="1">
      <alignment horizontal="right" vertical="center"/>
      <protection/>
    </xf>
    <xf numFmtId="49" fontId="17" fillId="0" borderId="41" xfId="0" applyNumberFormat="1" applyFont="1" applyFill="1" applyBorder="1" applyAlignment="1" applyProtection="1">
      <alignment horizontal="left" vertical="center"/>
      <protection/>
    </xf>
    <xf numFmtId="0" fontId="17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6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66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6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49" fontId="3" fillId="0" borderId="66" xfId="0" applyNumberFormat="1" applyFont="1" applyFill="1" applyBorder="1" applyAlignment="1" applyProtection="1">
      <alignment horizontal="left" vertical="center"/>
      <protection/>
    </xf>
    <xf numFmtId="0" fontId="3" fillId="0" borderId="6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0" fontId="12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68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Hyperlink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K11" sqref="K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3"/>
      <c r="B1" s="17"/>
      <c r="C1" s="197" t="s">
        <v>602</v>
      </c>
      <c r="D1" s="198"/>
      <c r="E1" s="198"/>
      <c r="F1" s="198"/>
      <c r="G1" s="198"/>
      <c r="H1" s="198"/>
      <c r="I1" s="198"/>
    </row>
    <row r="2" spans="1:10" ht="12.75">
      <c r="A2" s="199" t="s">
        <v>1</v>
      </c>
      <c r="B2" s="200"/>
      <c r="C2" s="201" t="str">
        <f>'Stavební rozpočet'!C2</f>
        <v>Stavební úpravy hygienických zařízení - Jídelna  Gymnázium Aš</v>
      </c>
      <c r="D2" s="202"/>
      <c r="E2" s="204" t="s">
        <v>516</v>
      </c>
      <c r="F2" s="204" t="str">
        <f>'Stavební rozpočet'!I2</f>
        <v>Gymnázium Aš, příspěvková organizace</v>
      </c>
      <c r="G2" s="200"/>
      <c r="H2" s="204" t="s">
        <v>624</v>
      </c>
      <c r="I2" s="205" t="s">
        <v>628</v>
      </c>
      <c r="J2" s="5"/>
    </row>
    <row r="3" spans="1:10" ht="12.75">
      <c r="A3" s="194"/>
      <c r="B3" s="168"/>
      <c r="C3" s="203"/>
      <c r="D3" s="203"/>
      <c r="E3" s="168"/>
      <c r="F3" s="168"/>
      <c r="G3" s="168"/>
      <c r="H3" s="168"/>
      <c r="I3" s="196"/>
      <c r="J3" s="5"/>
    </row>
    <row r="4" spans="1:10" ht="12.75">
      <c r="A4" s="188" t="s">
        <v>2</v>
      </c>
      <c r="B4" s="168"/>
      <c r="C4" s="167" t="str">
        <f>'Stavební rozpočet'!C4</f>
        <v>Školní budova</v>
      </c>
      <c r="D4" s="168"/>
      <c r="E4" s="167" t="s">
        <v>517</v>
      </c>
      <c r="F4" s="167" t="str">
        <f>'Stavební rozpočet'!I4</f>
        <v>Ing. Jaroslav Radovnický, č. autorizace 0300589</v>
      </c>
      <c r="G4" s="168"/>
      <c r="H4" s="167" t="s">
        <v>624</v>
      </c>
      <c r="I4" s="195" t="s">
        <v>629</v>
      </c>
      <c r="J4" s="5"/>
    </row>
    <row r="5" spans="1:10" ht="12.75">
      <c r="A5" s="194"/>
      <c r="B5" s="168"/>
      <c r="C5" s="168"/>
      <c r="D5" s="168"/>
      <c r="E5" s="168"/>
      <c r="F5" s="168"/>
      <c r="G5" s="168"/>
      <c r="H5" s="168"/>
      <c r="I5" s="196"/>
      <c r="J5" s="5"/>
    </row>
    <row r="6" spans="1:10" ht="12.75">
      <c r="A6" s="188" t="s">
        <v>3</v>
      </c>
      <c r="B6" s="168"/>
      <c r="C6" s="167" t="str">
        <f>'Stavební rozpočet'!C6</f>
        <v>st. 2729, v k.ú. Aš</v>
      </c>
      <c r="D6" s="168"/>
      <c r="E6" s="167" t="s">
        <v>518</v>
      </c>
      <c r="F6" s="167" t="str">
        <f>'Stavební rozpočet'!I6</f>
        <v> </v>
      </c>
      <c r="G6" s="168"/>
      <c r="H6" s="167" t="s">
        <v>624</v>
      </c>
      <c r="I6" s="195"/>
      <c r="J6" s="5"/>
    </row>
    <row r="7" spans="1:10" ht="12.75">
      <c r="A7" s="194"/>
      <c r="B7" s="168"/>
      <c r="C7" s="168"/>
      <c r="D7" s="168"/>
      <c r="E7" s="168"/>
      <c r="F7" s="168"/>
      <c r="G7" s="168"/>
      <c r="H7" s="168"/>
      <c r="I7" s="196"/>
      <c r="J7" s="5"/>
    </row>
    <row r="8" spans="1:10" ht="12.75">
      <c r="A8" s="188" t="s">
        <v>501</v>
      </c>
      <c r="B8" s="168"/>
      <c r="C8" s="167" t="str">
        <f>'Stavební rozpočet'!G4</f>
        <v> </v>
      </c>
      <c r="D8" s="168"/>
      <c r="E8" s="167" t="s">
        <v>502</v>
      </c>
      <c r="F8" s="167" t="str">
        <f>'Stavební rozpočet'!G6</f>
        <v> </v>
      </c>
      <c r="G8" s="168"/>
      <c r="H8" s="191" t="s">
        <v>625</v>
      </c>
      <c r="I8" s="195" t="s">
        <v>120</v>
      </c>
      <c r="J8" s="5"/>
    </row>
    <row r="9" spans="1:10" ht="12.75">
      <c r="A9" s="194"/>
      <c r="B9" s="168"/>
      <c r="C9" s="168"/>
      <c r="D9" s="168"/>
      <c r="E9" s="168"/>
      <c r="F9" s="168"/>
      <c r="G9" s="168"/>
      <c r="H9" s="168"/>
      <c r="I9" s="196"/>
      <c r="J9" s="5"/>
    </row>
    <row r="10" spans="1:10" ht="12.75">
      <c r="A10" s="188" t="s">
        <v>4</v>
      </c>
      <c r="B10" s="168"/>
      <c r="C10" s="167">
        <f>'Stavební rozpočet'!C8</f>
        <v>8013259</v>
      </c>
      <c r="D10" s="168"/>
      <c r="E10" s="167" t="s">
        <v>519</v>
      </c>
      <c r="F10" s="167" t="str">
        <f>'Stavební rozpočet'!I8</f>
        <v>Ing. Jaroslav Radovnický</v>
      </c>
      <c r="G10" s="168"/>
      <c r="H10" s="191" t="s">
        <v>626</v>
      </c>
      <c r="I10" s="192" t="str">
        <f>'Stavební rozpočet'!G8</f>
        <v>10.05.2022</v>
      </c>
      <c r="J10" s="5"/>
    </row>
    <row r="11" spans="1:10" ht="12.75">
      <c r="A11" s="189"/>
      <c r="B11" s="190"/>
      <c r="C11" s="190"/>
      <c r="D11" s="190"/>
      <c r="E11" s="190"/>
      <c r="F11" s="190"/>
      <c r="G11" s="190"/>
      <c r="H11" s="190"/>
      <c r="I11" s="193"/>
      <c r="J11" s="5"/>
    </row>
    <row r="12" spans="1:9" ht="23.25" customHeight="1">
      <c r="A12" s="184" t="s">
        <v>587</v>
      </c>
      <c r="B12" s="185"/>
      <c r="C12" s="185"/>
      <c r="D12" s="185"/>
      <c r="E12" s="185"/>
      <c r="F12" s="185"/>
      <c r="G12" s="185"/>
      <c r="H12" s="185"/>
      <c r="I12" s="185"/>
    </row>
    <row r="13" spans="1:10" ht="26.25" customHeight="1">
      <c r="A13" s="80" t="s">
        <v>588</v>
      </c>
      <c r="B13" s="186" t="s">
        <v>600</v>
      </c>
      <c r="C13" s="187"/>
      <c r="D13" s="80" t="s">
        <v>603</v>
      </c>
      <c r="E13" s="186" t="s">
        <v>609</v>
      </c>
      <c r="F13" s="187"/>
      <c r="G13" s="80" t="s">
        <v>610</v>
      </c>
      <c r="H13" s="186" t="s">
        <v>627</v>
      </c>
      <c r="I13" s="187"/>
      <c r="J13" s="5"/>
    </row>
    <row r="14" spans="1:10" ht="15" customHeight="1">
      <c r="A14" s="81" t="s">
        <v>589</v>
      </c>
      <c r="B14" s="85" t="s">
        <v>601</v>
      </c>
      <c r="C14" s="88">
        <f>SUM('Stavební rozpočet'!AB12:AB284)</f>
        <v>0</v>
      </c>
      <c r="D14" s="182"/>
      <c r="E14" s="183"/>
      <c r="F14" s="88">
        <f>VORN!I15</f>
        <v>0</v>
      </c>
      <c r="G14" s="182" t="s">
        <v>611</v>
      </c>
      <c r="H14" s="183"/>
      <c r="I14" s="88">
        <f>VORN!I21</f>
        <v>0</v>
      </c>
      <c r="J14" s="5"/>
    </row>
    <row r="15" spans="1:10" ht="15" customHeight="1">
      <c r="A15" s="82"/>
      <c r="B15" s="85" t="s">
        <v>527</v>
      </c>
      <c r="C15" s="88">
        <f>SUM('Stavební rozpočet'!AC12:AC284)</f>
        <v>0</v>
      </c>
      <c r="D15" s="182"/>
      <c r="E15" s="183"/>
      <c r="F15" s="88">
        <f>VORN!I16</f>
        <v>0</v>
      </c>
      <c r="G15" s="182" t="s">
        <v>612</v>
      </c>
      <c r="H15" s="183"/>
      <c r="I15" s="88">
        <f>VORN!I22</f>
        <v>0</v>
      </c>
      <c r="J15" s="5"/>
    </row>
    <row r="16" spans="1:10" ht="15" customHeight="1">
      <c r="A16" s="81" t="s">
        <v>590</v>
      </c>
      <c r="B16" s="85" t="s">
        <v>601</v>
      </c>
      <c r="C16" s="88">
        <f>SUM('Stavební rozpočet'!AD12:AD284)</f>
        <v>0</v>
      </c>
      <c r="D16" s="182"/>
      <c r="E16" s="183"/>
      <c r="F16" s="88">
        <f>VORN!I17</f>
        <v>0</v>
      </c>
      <c r="G16" s="182" t="s">
        <v>613</v>
      </c>
      <c r="H16" s="183"/>
      <c r="I16" s="88">
        <f>VORN!I23</f>
        <v>0</v>
      </c>
      <c r="J16" s="5"/>
    </row>
    <row r="17" spans="1:10" ht="15" customHeight="1">
      <c r="A17" s="82"/>
      <c r="B17" s="85" t="s">
        <v>527</v>
      </c>
      <c r="C17" s="88">
        <f>SUM('Stavební rozpočet'!AE12:AE284)</f>
        <v>0</v>
      </c>
      <c r="D17" s="182"/>
      <c r="E17" s="183"/>
      <c r="F17" s="89"/>
      <c r="G17" s="182" t="s">
        <v>614</v>
      </c>
      <c r="H17" s="183"/>
      <c r="I17" s="88">
        <f>VORN!I24</f>
        <v>0</v>
      </c>
      <c r="J17" s="5"/>
    </row>
    <row r="18" spans="1:10" ht="15" customHeight="1">
      <c r="A18" s="81" t="s">
        <v>591</v>
      </c>
      <c r="B18" s="85" t="s">
        <v>601</v>
      </c>
      <c r="C18" s="88">
        <f>SUM('Stavební rozpočet'!AF12:AF284)</f>
        <v>0</v>
      </c>
      <c r="D18" s="182"/>
      <c r="E18" s="183"/>
      <c r="F18" s="89"/>
      <c r="G18" s="182" t="s">
        <v>615</v>
      </c>
      <c r="H18" s="183"/>
      <c r="I18" s="88">
        <f>VORN!I25</f>
        <v>0</v>
      </c>
      <c r="J18" s="5"/>
    </row>
    <row r="19" spans="1:10" ht="15" customHeight="1">
      <c r="A19" s="82"/>
      <c r="B19" s="85" t="s">
        <v>527</v>
      </c>
      <c r="C19" s="88">
        <f>SUM('Stavební rozpočet'!AG12:AG284)</f>
        <v>0</v>
      </c>
      <c r="D19" s="182"/>
      <c r="E19" s="183"/>
      <c r="F19" s="89"/>
      <c r="G19" s="182" t="s">
        <v>616</v>
      </c>
      <c r="H19" s="183"/>
      <c r="I19" s="88">
        <f>VORN!I26</f>
        <v>0</v>
      </c>
      <c r="J19" s="5"/>
    </row>
    <row r="20" spans="1:10" ht="15" customHeight="1">
      <c r="A20" s="180" t="s">
        <v>592</v>
      </c>
      <c r="B20" s="181"/>
      <c r="C20" s="88">
        <f>SUM('Stavební rozpočet'!AH12:AH284)</f>
        <v>0</v>
      </c>
      <c r="D20" s="182"/>
      <c r="E20" s="183"/>
      <c r="F20" s="89"/>
      <c r="G20" s="182"/>
      <c r="H20" s="183"/>
      <c r="I20" s="89"/>
      <c r="J20" s="5"/>
    </row>
    <row r="21" spans="1:10" ht="15" customHeight="1">
      <c r="A21" s="180" t="s">
        <v>593</v>
      </c>
      <c r="B21" s="181"/>
      <c r="C21" s="88">
        <f>SUM('Stavební rozpočet'!Z12:Z284)</f>
        <v>0</v>
      </c>
      <c r="D21" s="182"/>
      <c r="E21" s="183"/>
      <c r="F21" s="89"/>
      <c r="G21" s="182"/>
      <c r="H21" s="183"/>
      <c r="I21" s="89"/>
      <c r="J21" s="5"/>
    </row>
    <row r="22" spans="1:10" ht="16.5" customHeight="1">
      <c r="A22" s="180" t="s">
        <v>594</v>
      </c>
      <c r="B22" s="181"/>
      <c r="C22" s="88">
        <f>SUM(C14:C21)</f>
        <v>0</v>
      </c>
      <c r="D22" s="180" t="s">
        <v>604</v>
      </c>
      <c r="E22" s="181"/>
      <c r="F22" s="88">
        <f>SUM(F14:F21)</f>
        <v>0</v>
      </c>
      <c r="G22" s="180" t="s">
        <v>617</v>
      </c>
      <c r="H22" s="181"/>
      <c r="I22" s="88">
        <f>SUM(I14:I21)</f>
        <v>0</v>
      </c>
      <c r="J22" s="5"/>
    </row>
    <row r="23" spans="1:10" ht="15" customHeight="1">
      <c r="A23" s="9"/>
      <c r="B23" s="9"/>
      <c r="C23" s="87"/>
      <c r="D23" s="180" t="s">
        <v>605</v>
      </c>
      <c r="E23" s="181"/>
      <c r="F23" s="90">
        <v>0</v>
      </c>
      <c r="G23" s="180" t="s">
        <v>618</v>
      </c>
      <c r="H23" s="181"/>
      <c r="I23" s="88">
        <v>0</v>
      </c>
      <c r="J23" s="5"/>
    </row>
    <row r="24" spans="4:10" ht="15" customHeight="1">
      <c r="D24" s="9"/>
      <c r="E24" s="9"/>
      <c r="F24" s="91"/>
      <c r="G24" s="180" t="s">
        <v>619</v>
      </c>
      <c r="H24" s="181"/>
      <c r="I24" s="88">
        <f>vorn_sum</f>
        <v>0</v>
      </c>
      <c r="J24" s="5"/>
    </row>
    <row r="25" spans="6:10" ht="15" customHeight="1">
      <c r="F25" s="42"/>
      <c r="G25" s="180" t="s">
        <v>620</v>
      </c>
      <c r="H25" s="181"/>
      <c r="I25" s="88">
        <v>0</v>
      </c>
      <c r="J25" s="5"/>
    </row>
    <row r="26" spans="1:9" ht="12.75">
      <c r="A26" s="17"/>
      <c r="B26" s="17"/>
      <c r="C26" s="17"/>
      <c r="G26" s="9"/>
      <c r="H26" s="9"/>
      <c r="I26" s="9"/>
    </row>
    <row r="27" spans="1:9" ht="15" customHeight="1">
      <c r="A27" s="175" t="s">
        <v>595</v>
      </c>
      <c r="B27" s="176"/>
      <c r="C27" s="92">
        <f>SUM('Stavební rozpočet'!AJ12:AJ284)</f>
        <v>0</v>
      </c>
      <c r="D27" s="8"/>
      <c r="E27" s="17"/>
      <c r="F27" s="17"/>
      <c r="G27" s="17"/>
      <c r="H27" s="17"/>
      <c r="I27" s="17"/>
    </row>
    <row r="28" spans="1:10" ht="15" customHeight="1">
      <c r="A28" s="175" t="s">
        <v>596</v>
      </c>
      <c r="B28" s="176"/>
      <c r="C28" s="92">
        <f>SUM('Stavební rozpočet'!AK12:AK284)</f>
        <v>0</v>
      </c>
      <c r="D28" s="175" t="s">
        <v>606</v>
      </c>
      <c r="E28" s="176"/>
      <c r="F28" s="92">
        <f>ROUND(C28*(15/100),2)</f>
        <v>0</v>
      </c>
      <c r="G28" s="175" t="s">
        <v>621</v>
      </c>
      <c r="H28" s="176"/>
      <c r="I28" s="92">
        <f>SUM(C27:C29)</f>
        <v>0</v>
      </c>
      <c r="J28" s="5"/>
    </row>
    <row r="29" spans="1:10" ht="15" customHeight="1">
      <c r="A29" s="175" t="s">
        <v>597</v>
      </c>
      <c r="B29" s="176"/>
      <c r="C29" s="92">
        <f>SUM('Stavební rozpočet'!AL12:AL284)+(F22+I22+F23+I23+I24+I25)</f>
        <v>0</v>
      </c>
      <c r="D29" s="175" t="s">
        <v>607</v>
      </c>
      <c r="E29" s="176"/>
      <c r="F29" s="92">
        <f>ROUND(C29*(21/100),2)</f>
        <v>0</v>
      </c>
      <c r="G29" s="175" t="s">
        <v>622</v>
      </c>
      <c r="H29" s="176"/>
      <c r="I29" s="92">
        <f>SUM(F28:F29)+I28</f>
        <v>0</v>
      </c>
      <c r="J29" s="5"/>
    </row>
    <row r="30" spans="1:9" ht="12.75">
      <c r="A30" s="83"/>
      <c r="B30" s="83"/>
      <c r="C30" s="83"/>
      <c r="D30" s="83"/>
      <c r="E30" s="83"/>
      <c r="F30" s="83"/>
      <c r="G30" s="83"/>
      <c r="H30" s="83"/>
      <c r="I30" s="83"/>
    </row>
    <row r="31" spans="1:10" ht="14.25" customHeight="1">
      <c r="A31" s="177" t="s">
        <v>598</v>
      </c>
      <c r="B31" s="178"/>
      <c r="C31" s="179"/>
      <c r="D31" s="177" t="s">
        <v>608</v>
      </c>
      <c r="E31" s="178"/>
      <c r="F31" s="179"/>
      <c r="G31" s="177" t="s">
        <v>623</v>
      </c>
      <c r="H31" s="178"/>
      <c r="I31" s="179"/>
      <c r="J31" s="46"/>
    </row>
    <row r="32" spans="1:10" ht="14.25" customHeight="1">
      <c r="A32" s="169"/>
      <c r="B32" s="170"/>
      <c r="C32" s="171"/>
      <c r="D32" s="169"/>
      <c r="E32" s="170"/>
      <c r="F32" s="171"/>
      <c r="G32" s="169"/>
      <c r="H32" s="170"/>
      <c r="I32" s="171"/>
      <c r="J32" s="46"/>
    </row>
    <row r="33" spans="1:10" ht="14.25" customHeight="1">
      <c r="A33" s="169"/>
      <c r="B33" s="170"/>
      <c r="C33" s="171"/>
      <c r="D33" s="169"/>
      <c r="E33" s="170"/>
      <c r="F33" s="171"/>
      <c r="G33" s="169"/>
      <c r="H33" s="170"/>
      <c r="I33" s="171"/>
      <c r="J33" s="46"/>
    </row>
    <row r="34" spans="1:10" ht="14.25" customHeight="1">
      <c r="A34" s="169"/>
      <c r="B34" s="170"/>
      <c r="C34" s="171"/>
      <c r="D34" s="169"/>
      <c r="E34" s="170"/>
      <c r="F34" s="171"/>
      <c r="G34" s="169"/>
      <c r="H34" s="170"/>
      <c r="I34" s="171"/>
      <c r="J34" s="46"/>
    </row>
    <row r="35" spans="1:10" ht="14.25" customHeight="1">
      <c r="A35" s="172" t="s">
        <v>599</v>
      </c>
      <c r="B35" s="173"/>
      <c r="C35" s="174"/>
      <c r="D35" s="172" t="s">
        <v>599</v>
      </c>
      <c r="E35" s="173"/>
      <c r="F35" s="174"/>
      <c r="G35" s="172" t="s">
        <v>599</v>
      </c>
      <c r="H35" s="173"/>
      <c r="I35" s="174"/>
      <c r="J35" s="46"/>
    </row>
    <row r="36" spans="1:9" ht="11.25" customHeight="1">
      <c r="A36" s="84" t="s">
        <v>121</v>
      </c>
      <c r="B36" s="86"/>
      <c r="C36" s="86"/>
      <c r="D36" s="86"/>
      <c r="E36" s="86"/>
      <c r="F36" s="86"/>
      <c r="G36" s="86"/>
      <c r="H36" s="86"/>
      <c r="I36" s="86"/>
    </row>
    <row r="37" spans="1:9" ht="12.75">
      <c r="A37" s="167"/>
      <c r="B37" s="168"/>
      <c r="C37" s="168"/>
      <c r="D37" s="168"/>
      <c r="E37" s="168"/>
      <c r="F37" s="168"/>
      <c r="G37" s="168"/>
      <c r="H37" s="168"/>
      <c r="I37" s="168"/>
    </row>
  </sheetData>
  <sheetProtection password="CF56" sheet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F36" sqref="F3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7.75" customHeight="1">
      <c r="A1" s="103"/>
      <c r="B1" s="17"/>
      <c r="C1" s="197" t="s">
        <v>638</v>
      </c>
      <c r="D1" s="198"/>
      <c r="E1" s="198"/>
      <c r="F1" s="198"/>
      <c r="G1" s="198"/>
      <c r="H1" s="198"/>
      <c r="I1" s="198"/>
    </row>
    <row r="2" spans="1:10" ht="12.75">
      <c r="A2" s="199" t="s">
        <v>1</v>
      </c>
      <c r="B2" s="200"/>
      <c r="C2" s="201" t="str">
        <f>'Stavební rozpočet'!C2</f>
        <v>Stavební úpravy hygienických zařízení - Jídelna  Gymnázium Aš</v>
      </c>
      <c r="D2" s="202"/>
      <c r="E2" s="204" t="s">
        <v>516</v>
      </c>
      <c r="F2" s="204" t="str">
        <f>'Stavební rozpočet'!I2</f>
        <v>Gymnázium Aš, příspěvková organizace</v>
      </c>
      <c r="G2" s="200"/>
      <c r="H2" s="204" t="s">
        <v>624</v>
      </c>
      <c r="I2" s="205" t="s">
        <v>628</v>
      </c>
      <c r="J2" s="5"/>
    </row>
    <row r="3" spans="1:10" ht="12.75">
      <c r="A3" s="194"/>
      <c r="B3" s="168"/>
      <c r="C3" s="203"/>
      <c r="D3" s="203"/>
      <c r="E3" s="168"/>
      <c r="F3" s="168"/>
      <c r="G3" s="168"/>
      <c r="H3" s="168"/>
      <c r="I3" s="196"/>
      <c r="J3" s="5"/>
    </row>
    <row r="4" spans="1:10" ht="12.75">
      <c r="A4" s="188" t="s">
        <v>2</v>
      </c>
      <c r="B4" s="168"/>
      <c r="C4" s="167" t="str">
        <f>'Stavební rozpočet'!C4</f>
        <v>Školní budova</v>
      </c>
      <c r="D4" s="168"/>
      <c r="E4" s="167" t="s">
        <v>517</v>
      </c>
      <c r="F4" s="167" t="str">
        <f>'Stavební rozpočet'!I4</f>
        <v>Ing. Jaroslav Radovnický, č. autorizace 0300589</v>
      </c>
      <c r="G4" s="168"/>
      <c r="H4" s="167" t="s">
        <v>624</v>
      </c>
      <c r="I4" s="195" t="s">
        <v>629</v>
      </c>
      <c r="J4" s="5"/>
    </row>
    <row r="5" spans="1:10" ht="12.75">
      <c r="A5" s="194"/>
      <c r="B5" s="168"/>
      <c r="C5" s="168"/>
      <c r="D5" s="168"/>
      <c r="E5" s="168"/>
      <c r="F5" s="168"/>
      <c r="G5" s="168"/>
      <c r="H5" s="168"/>
      <c r="I5" s="196"/>
      <c r="J5" s="5"/>
    </row>
    <row r="6" spans="1:10" ht="12.75">
      <c r="A6" s="188" t="s">
        <v>3</v>
      </c>
      <c r="B6" s="168"/>
      <c r="C6" s="167" t="str">
        <f>'Stavební rozpočet'!C6</f>
        <v>st. 2729, v k.ú. Aš</v>
      </c>
      <c r="D6" s="168"/>
      <c r="E6" s="167" t="s">
        <v>518</v>
      </c>
      <c r="F6" s="167" t="str">
        <f>'Stavební rozpočet'!I6</f>
        <v> </v>
      </c>
      <c r="G6" s="168"/>
      <c r="H6" s="167" t="s">
        <v>624</v>
      </c>
      <c r="I6" s="195"/>
      <c r="J6" s="5"/>
    </row>
    <row r="7" spans="1:10" ht="12.75">
      <c r="A7" s="194"/>
      <c r="B7" s="168"/>
      <c r="C7" s="168"/>
      <c r="D7" s="168"/>
      <c r="E7" s="168"/>
      <c r="F7" s="168"/>
      <c r="G7" s="168"/>
      <c r="H7" s="168"/>
      <c r="I7" s="196"/>
      <c r="J7" s="5"/>
    </row>
    <row r="8" spans="1:10" ht="12.75">
      <c r="A8" s="188" t="s">
        <v>501</v>
      </c>
      <c r="B8" s="168"/>
      <c r="C8" s="167" t="str">
        <f>'Stavební rozpočet'!G4</f>
        <v> </v>
      </c>
      <c r="D8" s="168"/>
      <c r="E8" s="167" t="s">
        <v>502</v>
      </c>
      <c r="F8" s="167" t="str">
        <f>'Stavební rozpočet'!G6</f>
        <v> </v>
      </c>
      <c r="G8" s="168"/>
      <c r="H8" s="191" t="s">
        <v>625</v>
      </c>
      <c r="I8" s="195" t="s">
        <v>120</v>
      </c>
      <c r="J8" s="5"/>
    </row>
    <row r="9" spans="1:10" ht="12.75">
      <c r="A9" s="194"/>
      <c r="B9" s="168"/>
      <c r="C9" s="168"/>
      <c r="D9" s="168"/>
      <c r="E9" s="168"/>
      <c r="F9" s="168"/>
      <c r="G9" s="168"/>
      <c r="H9" s="168"/>
      <c r="I9" s="196"/>
      <c r="J9" s="5"/>
    </row>
    <row r="10" spans="1:10" ht="12.75">
      <c r="A10" s="188" t="s">
        <v>4</v>
      </c>
      <c r="B10" s="168"/>
      <c r="C10" s="167">
        <f>'Stavební rozpočet'!C8</f>
        <v>8013259</v>
      </c>
      <c r="D10" s="168"/>
      <c r="E10" s="167" t="s">
        <v>519</v>
      </c>
      <c r="F10" s="167" t="str">
        <f>'Stavební rozpočet'!I8</f>
        <v>Ing. Jaroslav Radovnický</v>
      </c>
      <c r="G10" s="168"/>
      <c r="H10" s="191" t="s">
        <v>626</v>
      </c>
      <c r="I10" s="192" t="str">
        <f>'Stavební rozpočet'!G8</f>
        <v>10.05.2022</v>
      </c>
      <c r="J10" s="5"/>
    </row>
    <row r="11" spans="1:10" ht="12.75">
      <c r="A11" s="189"/>
      <c r="B11" s="190"/>
      <c r="C11" s="190"/>
      <c r="D11" s="190"/>
      <c r="E11" s="190"/>
      <c r="F11" s="190"/>
      <c r="G11" s="190"/>
      <c r="H11" s="190"/>
      <c r="I11" s="193"/>
      <c r="J11" s="5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224" t="s">
        <v>630</v>
      </c>
      <c r="B13" s="225"/>
      <c r="C13" s="225"/>
      <c r="D13" s="225"/>
      <c r="E13" s="225"/>
      <c r="F13" s="94"/>
      <c r="G13" s="94"/>
      <c r="H13" s="94"/>
      <c r="I13" s="94"/>
    </row>
    <row r="14" spans="1:10" ht="12.75">
      <c r="A14" s="226" t="s">
        <v>631</v>
      </c>
      <c r="B14" s="227"/>
      <c r="C14" s="227"/>
      <c r="D14" s="227"/>
      <c r="E14" s="228"/>
      <c r="F14" s="95" t="s">
        <v>639</v>
      </c>
      <c r="G14" s="95" t="s">
        <v>640</v>
      </c>
      <c r="H14" s="95" t="s">
        <v>641</v>
      </c>
      <c r="I14" s="95" t="s">
        <v>639</v>
      </c>
      <c r="J14" s="46"/>
    </row>
    <row r="15" spans="1:10" ht="12.75">
      <c r="A15" s="229"/>
      <c r="B15" s="230"/>
      <c r="C15" s="230"/>
      <c r="D15" s="230"/>
      <c r="E15" s="231"/>
      <c r="F15" s="96">
        <v>0</v>
      </c>
      <c r="G15" s="99"/>
      <c r="H15" s="99"/>
      <c r="I15" s="96">
        <f>F15</f>
        <v>0</v>
      </c>
      <c r="J15" s="5"/>
    </row>
    <row r="16" spans="1:10" ht="12.75">
      <c r="A16" s="229"/>
      <c r="B16" s="230"/>
      <c r="C16" s="230"/>
      <c r="D16" s="230"/>
      <c r="E16" s="231"/>
      <c r="F16" s="96">
        <v>0</v>
      </c>
      <c r="G16" s="99"/>
      <c r="H16" s="99"/>
      <c r="I16" s="96">
        <f>F16</f>
        <v>0</v>
      </c>
      <c r="J16" s="5"/>
    </row>
    <row r="17" spans="1:10" ht="12.75">
      <c r="A17" s="215"/>
      <c r="B17" s="216"/>
      <c r="C17" s="216"/>
      <c r="D17" s="216"/>
      <c r="E17" s="217"/>
      <c r="F17" s="97">
        <v>0</v>
      </c>
      <c r="G17" s="100"/>
      <c r="H17" s="100"/>
      <c r="I17" s="97">
        <f>F17</f>
        <v>0</v>
      </c>
      <c r="J17" s="5"/>
    </row>
    <row r="18" spans="1:10" ht="12.75">
      <c r="A18" s="206" t="s">
        <v>632</v>
      </c>
      <c r="B18" s="207"/>
      <c r="C18" s="207"/>
      <c r="D18" s="207"/>
      <c r="E18" s="208"/>
      <c r="F18" s="98"/>
      <c r="G18" s="101"/>
      <c r="H18" s="101"/>
      <c r="I18" s="102">
        <f>SUM(I15:I17)</f>
        <v>0</v>
      </c>
      <c r="J18" s="46"/>
    </row>
    <row r="19" spans="1:9" ht="12.75">
      <c r="A19" s="93"/>
      <c r="B19" s="93"/>
      <c r="C19" s="93"/>
      <c r="D19" s="93"/>
      <c r="E19" s="93"/>
      <c r="F19" s="93"/>
      <c r="G19" s="93"/>
      <c r="H19" s="93"/>
      <c r="I19" s="93"/>
    </row>
    <row r="20" spans="1:10" ht="12.75">
      <c r="A20" s="226" t="s">
        <v>627</v>
      </c>
      <c r="B20" s="227"/>
      <c r="C20" s="227"/>
      <c r="D20" s="227"/>
      <c r="E20" s="228"/>
      <c r="F20" s="95" t="s">
        <v>639</v>
      </c>
      <c r="G20" s="95" t="s">
        <v>640</v>
      </c>
      <c r="H20" s="95" t="s">
        <v>641</v>
      </c>
      <c r="I20" s="95" t="s">
        <v>639</v>
      </c>
      <c r="J20" s="46"/>
    </row>
    <row r="21" spans="1:10" ht="12.75">
      <c r="A21" s="229" t="s">
        <v>611</v>
      </c>
      <c r="B21" s="230"/>
      <c r="C21" s="230"/>
      <c r="D21" s="230"/>
      <c r="E21" s="231"/>
      <c r="F21" s="153">
        <v>0</v>
      </c>
      <c r="G21" s="99"/>
      <c r="H21" s="99"/>
      <c r="I21" s="96">
        <f aca="true" t="shared" si="0" ref="I21:I26">F21</f>
        <v>0</v>
      </c>
      <c r="J21" s="5"/>
    </row>
    <row r="22" spans="1:10" ht="12.75">
      <c r="A22" s="229" t="s">
        <v>612</v>
      </c>
      <c r="B22" s="230"/>
      <c r="C22" s="230"/>
      <c r="D22" s="230"/>
      <c r="E22" s="231"/>
      <c r="F22" s="96">
        <v>0</v>
      </c>
      <c r="G22" s="99"/>
      <c r="H22" s="99"/>
      <c r="I22" s="96">
        <f t="shared" si="0"/>
        <v>0</v>
      </c>
      <c r="J22" s="5"/>
    </row>
    <row r="23" spans="1:10" ht="12.75">
      <c r="A23" s="229" t="s">
        <v>613</v>
      </c>
      <c r="B23" s="230"/>
      <c r="C23" s="230"/>
      <c r="D23" s="230"/>
      <c r="E23" s="231"/>
      <c r="F23" s="96">
        <v>0</v>
      </c>
      <c r="G23" s="99"/>
      <c r="H23" s="99"/>
      <c r="I23" s="96">
        <f t="shared" si="0"/>
        <v>0</v>
      </c>
      <c r="J23" s="5"/>
    </row>
    <row r="24" spans="1:10" ht="12.75">
      <c r="A24" s="229" t="s">
        <v>614</v>
      </c>
      <c r="B24" s="230"/>
      <c r="C24" s="230"/>
      <c r="D24" s="230"/>
      <c r="E24" s="231"/>
      <c r="F24" s="96">
        <v>0</v>
      </c>
      <c r="G24" s="99"/>
      <c r="H24" s="99"/>
      <c r="I24" s="96">
        <f t="shared" si="0"/>
        <v>0</v>
      </c>
      <c r="J24" s="5"/>
    </row>
    <row r="25" spans="1:10" ht="12.75">
      <c r="A25" s="229" t="s">
        <v>615</v>
      </c>
      <c r="B25" s="230"/>
      <c r="C25" s="230"/>
      <c r="D25" s="230"/>
      <c r="E25" s="231"/>
      <c r="F25" s="96">
        <v>0</v>
      </c>
      <c r="G25" s="99"/>
      <c r="H25" s="99"/>
      <c r="I25" s="96">
        <f t="shared" si="0"/>
        <v>0</v>
      </c>
      <c r="J25" s="5"/>
    </row>
    <row r="26" spans="1:10" ht="12.75">
      <c r="A26" s="215" t="s">
        <v>616</v>
      </c>
      <c r="B26" s="216"/>
      <c r="C26" s="216"/>
      <c r="D26" s="216"/>
      <c r="E26" s="217"/>
      <c r="F26" s="97">
        <v>0</v>
      </c>
      <c r="G26" s="100"/>
      <c r="H26" s="100"/>
      <c r="I26" s="97">
        <f t="shared" si="0"/>
        <v>0</v>
      </c>
      <c r="J26" s="5"/>
    </row>
    <row r="27" spans="1:10" ht="12.75">
      <c r="A27" s="206" t="s">
        <v>633</v>
      </c>
      <c r="B27" s="207"/>
      <c r="C27" s="207"/>
      <c r="D27" s="207"/>
      <c r="E27" s="208"/>
      <c r="F27" s="98"/>
      <c r="G27" s="101"/>
      <c r="H27" s="101"/>
      <c r="I27" s="102">
        <f>SUM(I21:I26)</f>
        <v>0</v>
      </c>
      <c r="J27" s="46"/>
    </row>
    <row r="28" spans="1:9" ht="12.75">
      <c r="A28" s="93"/>
      <c r="B28" s="93"/>
      <c r="C28" s="93"/>
      <c r="D28" s="93"/>
      <c r="E28" s="93"/>
      <c r="F28" s="93"/>
      <c r="G28" s="93"/>
      <c r="H28" s="93"/>
      <c r="I28" s="93"/>
    </row>
    <row r="29" spans="1:10" ht="15" customHeight="1" thickBot="1">
      <c r="A29" s="218" t="s">
        <v>634</v>
      </c>
      <c r="B29" s="219"/>
      <c r="C29" s="219"/>
      <c r="D29" s="219"/>
      <c r="E29" s="220"/>
      <c r="F29" s="221">
        <f>I18+I27</f>
        <v>0</v>
      </c>
      <c r="G29" s="222"/>
      <c r="H29" s="222"/>
      <c r="I29" s="223"/>
      <c r="J29" s="46"/>
    </row>
    <row r="31" spans="1:9" ht="15" customHeight="1">
      <c r="A31" s="224" t="s">
        <v>635</v>
      </c>
      <c r="B31" s="225"/>
      <c r="C31" s="225"/>
      <c r="D31" s="225"/>
      <c r="E31" s="225"/>
      <c r="F31" s="94"/>
      <c r="G31" s="94"/>
      <c r="H31" s="94"/>
      <c r="I31" s="94"/>
    </row>
    <row r="32" spans="1:10" ht="12.75">
      <c r="A32" s="226" t="s">
        <v>636</v>
      </c>
      <c r="B32" s="227"/>
      <c r="C32" s="227"/>
      <c r="D32" s="227"/>
      <c r="E32" s="228"/>
      <c r="F32" s="95" t="s">
        <v>639</v>
      </c>
      <c r="G32" s="95" t="s">
        <v>640</v>
      </c>
      <c r="H32" s="95" t="s">
        <v>641</v>
      </c>
      <c r="I32" s="95" t="s">
        <v>639</v>
      </c>
      <c r="J32" s="46"/>
    </row>
    <row r="33" spans="1:10" ht="12.75">
      <c r="A33" s="209" t="s">
        <v>642</v>
      </c>
      <c r="B33" s="210"/>
      <c r="C33" s="210"/>
      <c r="D33" s="210"/>
      <c r="E33" s="211"/>
      <c r="F33" s="153">
        <v>0</v>
      </c>
      <c r="G33" s="99"/>
      <c r="H33" s="99"/>
      <c r="I33" s="96">
        <f aca="true" t="shared" si="1" ref="I33:I38">F33</f>
        <v>0</v>
      </c>
      <c r="J33" s="5"/>
    </row>
    <row r="34" spans="1:10" ht="12.75">
      <c r="A34" s="209" t="s">
        <v>643</v>
      </c>
      <c r="B34" s="210"/>
      <c r="C34" s="210"/>
      <c r="D34" s="210"/>
      <c r="E34" s="211"/>
      <c r="F34" s="153">
        <v>0</v>
      </c>
      <c r="G34" s="99"/>
      <c r="H34" s="99"/>
      <c r="I34" s="96">
        <f t="shared" si="1"/>
        <v>0</v>
      </c>
      <c r="J34" s="5"/>
    </row>
    <row r="35" spans="1:10" ht="12.75">
      <c r="A35" s="209" t="s">
        <v>644</v>
      </c>
      <c r="B35" s="210"/>
      <c r="C35" s="210"/>
      <c r="D35" s="210"/>
      <c r="E35" s="211"/>
      <c r="F35" s="153">
        <v>0</v>
      </c>
      <c r="G35" s="99"/>
      <c r="H35" s="99"/>
      <c r="I35" s="96">
        <f t="shared" si="1"/>
        <v>0</v>
      </c>
      <c r="J35" s="5"/>
    </row>
    <row r="36" spans="1:10" ht="12.75">
      <c r="A36" s="209" t="s">
        <v>645</v>
      </c>
      <c r="B36" s="210"/>
      <c r="C36" s="210"/>
      <c r="D36" s="210"/>
      <c r="E36" s="211"/>
      <c r="F36" s="153">
        <v>0</v>
      </c>
      <c r="G36" s="99"/>
      <c r="H36" s="99"/>
      <c r="I36" s="96">
        <f t="shared" si="1"/>
        <v>0</v>
      </c>
      <c r="J36" s="5"/>
    </row>
    <row r="37" spans="1:10" ht="12.75">
      <c r="A37" s="209" t="s">
        <v>646</v>
      </c>
      <c r="B37" s="210"/>
      <c r="C37" s="210"/>
      <c r="D37" s="210"/>
      <c r="E37" s="211"/>
      <c r="F37" s="153">
        <v>0</v>
      </c>
      <c r="G37" s="99"/>
      <c r="H37" s="99"/>
      <c r="I37" s="96">
        <f t="shared" si="1"/>
        <v>0</v>
      </c>
      <c r="J37" s="5"/>
    </row>
    <row r="38" spans="1:10" ht="26.25" customHeight="1">
      <c r="A38" s="212" t="s">
        <v>647</v>
      </c>
      <c r="B38" s="213"/>
      <c r="C38" s="213"/>
      <c r="D38" s="213"/>
      <c r="E38" s="214"/>
      <c r="F38" s="154">
        <v>0</v>
      </c>
      <c r="G38" s="100"/>
      <c r="H38" s="100"/>
      <c r="I38" s="97">
        <f t="shared" si="1"/>
        <v>0</v>
      </c>
      <c r="J38" s="5"/>
    </row>
    <row r="39" spans="1:10" ht="12.75">
      <c r="A39" s="206" t="s">
        <v>637</v>
      </c>
      <c r="B39" s="207"/>
      <c r="C39" s="207"/>
      <c r="D39" s="207"/>
      <c r="E39" s="208"/>
      <c r="F39" s="98"/>
      <c r="G39" s="101"/>
      <c r="H39" s="101"/>
      <c r="I39" s="102">
        <f>SUM(I33:I38)</f>
        <v>0</v>
      </c>
      <c r="J39" s="46"/>
    </row>
    <row r="40" spans="1:9" ht="12.75">
      <c r="A40" s="86"/>
      <c r="B40" s="86"/>
      <c r="C40" s="86"/>
      <c r="D40" s="86"/>
      <c r="E40" s="86"/>
      <c r="F40" s="86"/>
      <c r="G40" s="86"/>
      <c r="H40" s="86"/>
      <c r="I40" s="86"/>
    </row>
  </sheetData>
  <sheetProtection password="CF56" sheet="1"/>
  <mergeCells count="56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1:E31"/>
    <mergeCell ref="A32:E32"/>
    <mergeCell ref="A39:E39"/>
    <mergeCell ref="A33:E33"/>
    <mergeCell ref="A34:E34"/>
    <mergeCell ref="A35:E35"/>
    <mergeCell ref="A36:E36"/>
    <mergeCell ref="A37:E37"/>
    <mergeCell ref="A38:E38"/>
  </mergeCells>
  <printOptions/>
  <pageMargins left="0.394" right="0.394" top="0.591" bottom="0.591" header="0.5" footer="0.5"/>
  <pageSetup fitToHeight="0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26" sqref="D26"/>
    </sheetView>
  </sheetViews>
  <sheetFormatPr defaultColWidth="11.57421875" defaultRowHeight="12.75"/>
  <cols>
    <col min="1" max="2" width="3.5742187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241" t="s">
        <v>579</v>
      </c>
      <c r="B1" s="198"/>
      <c r="C1" s="198"/>
      <c r="D1" s="198"/>
      <c r="E1" s="198"/>
      <c r="F1" s="198"/>
      <c r="G1" s="198"/>
    </row>
    <row r="2" spans="1:8" ht="12.75">
      <c r="A2" s="199" t="s">
        <v>1</v>
      </c>
      <c r="B2" s="200"/>
      <c r="C2" s="201" t="str">
        <f>'Stavební rozpočet'!C2</f>
        <v>Stavební úpravy hygienických zařízení - Jídelna  Gymnázium Aš</v>
      </c>
      <c r="D2" s="242" t="s">
        <v>500</v>
      </c>
      <c r="E2" s="242" t="s">
        <v>6</v>
      </c>
      <c r="F2" s="204" t="s">
        <v>516</v>
      </c>
      <c r="G2" s="243" t="str">
        <f>'Stavební rozpočet'!I2</f>
        <v>Gymnázium Aš, příspěvková organizace</v>
      </c>
      <c r="H2" s="5"/>
    </row>
    <row r="3" spans="1:8" ht="12.75">
      <c r="A3" s="194"/>
      <c r="B3" s="168"/>
      <c r="C3" s="203"/>
      <c r="D3" s="168"/>
      <c r="E3" s="168"/>
      <c r="F3" s="168"/>
      <c r="G3" s="196"/>
      <c r="H3" s="5"/>
    </row>
    <row r="4" spans="1:8" ht="12.75">
      <c r="A4" s="188" t="s">
        <v>2</v>
      </c>
      <c r="B4" s="168"/>
      <c r="C4" s="167" t="str">
        <f>'Stavební rozpočet'!C4</f>
        <v>Školní budova</v>
      </c>
      <c r="D4" s="191" t="s">
        <v>501</v>
      </c>
      <c r="E4" s="191" t="s">
        <v>6</v>
      </c>
      <c r="F4" s="167" t="s">
        <v>517</v>
      </c>
      <c r="G4" s="240" t="str">
        <f>'Stavební rozpočet'!I4</f>
        <v>Ing. Jaroslav Radovnický, č. autorizace 0300589</v>
      </c>
      <c r="H4" s="5"/>
    </row>
    <row r="5" spans="1:8" ht="12.75">
      <c r="A5" s="194"/>
      <c r="B5" s="168"/>
      <c r="C5" s="168"/>
      <c r="D5" s="168"/>
      <c r="E5" s="168"/>
      <c r="F5" s="168"/>
      <c r="G5" s="196"/>
      <c r="H5" s="5"/>
    </row>
    <row r="6" spans="1:8" ht="12.75">
      <c r="A6" s="188" t="s">
        <v>3</v>
      </c>
      <c r="B6" s="168"/>
      <c r="C6" s="167" t="str">
        <f>'Stavební rozpočet'!C6</f>
        <v>st. 2729, v k.ú. Aš</v>
      </c>
      <c r="D6" s="191" t="s">
        <v>502</v>
      </c>
      <c r="E6" s="191" t="s">
        <v>6</v>
      </c>
      <c r="F6" s="167" t="s">
        <v>518</v>
      </c>
      <c r="G6" s="240" t="str">
        <f>'Stavební rozpočet'!I6</f>
        <v> </v>
      </c>
      <c r="H6" s="5"/>
    </row>
    <row r="7" spans="1:8" ht="12.75">
      <c r="A7" s="194"/>
      <c r="B7" s="168"/>
      <c r="C7" s="168"/>
      <c r="D7" s="168"/>
      <c r="E7" s="168"/>
      <c r="F7" s="168"/>
      <c r="G7" s="196"/>
      <c r="H7" s="5"/>
    </row>
    <row r="8" spans="1:8" ht="12.75">
      <c r="A8" s="188" t="s">
        <v>519</v>
      </c>
      <c r="B8" s="168"/>
      <c r="C8" s="167" t="str">
        <f>'Stavební rozpočet'!I8</f>
        <v>Ing. Jaroslav Radovnický</v>
      </c>
      <c r="D8" s="191" t="s">
        <v>503</v>
      </c>
      <c r="E8" s="191" t="s">
        <v>513</v>
      </c>
      <c r="F8" s="191" t="s">
        <v>503</v>
      </c>
      <c r="G8" s="192" t="s">
        <v>649</v>
      </c>
      <c r="H8" s="5"/>
    </row>
    <row r="9" spans="1:8" ht="12.75">
      <c r="A9" s="237"/>
      <c r="B9" s="238"/>
      <c r="C9" s="238"/>
      <c r="D9" s="238"/>
      <c r="E9" s="238"/>
      <c r="F9" s="238"/>
      <c r="G9" s="239"/>
      <c r="H9" s="5"/>
    </row>
    <row r="10" spans="1:8" ht="12.75">
      <c r="A10" s="206" t="s">
        <v>122</v>
      </c>
      <c r="B10" s="234"/>
      <c r="C10" s="55" t="s">
        <v>249</v>
      </c>
      <c r="D10" s="58" t="s">
        <v>580</v>
      </c>
      <c r="E10" s="58" t="s">
        <v>581</v>
      </c>
      <c r="F10" s="58" t="s">
        <v>582</v>
      </c>
      <c r="G10" s="59" t="s">
        <v>583</v>
      </c>
      <c r="H10" s="46"/>
    </row>
    <row r="11" spans="1:9" ht="12.75">
      <c r="A11" s="235" t="s">
        <v>40</v>
      </c>
      <c r="B11" s="236"/>
      <c r="C11" s="56" t="s">
        <v>251</v>
      </c>
      <c r="D11" s="61">
        <f>'Stavební rozpočet'!H12</f>
        <v>0</v>
      </c>
      <c r="E11" s="61">
        <f>'Stavební rozpočet'!I12</f>
        <v>0</v>
      </c>
      <c r="F11" s="61">
        <f>'Stavební rozpočet'!J12</f>
        <v>0</v>
      </c>
      <c r="G11" s="63">
        <f>'Stavební rozpočet'!L12</f>
        <v>0.0762584</v>
      </c>
      <c r="H11" s="60" t="s">
        <v>584</v>
      </c>
      <c r="I11" s="47">
        <f aca="true" t="shared" si="0" ref="I11:I31">IF(G11="F",0,F11)</f>
        <v>0</v>
      </c>
    </row>
    <row r="12" spans="1:9" ht="12.75">
      <c r="A12" s="232" t="s">
        <v>67</v>
      </c>
      <c r="B12" s="168"/>
      <c r="C12" s="22" t="s">
        <v>254</v>
      </c>
      <c r="D12" s="47">
        <f>'Stavební rozpočet'!H15</f>
        <v>0</v>
      </c>
      <c r="E12" s="47">
        <f>'Stavební rozpočet'!I15</f>
        <v>0</v>
      </c>
      <c r="F12" s="47">
        <f>'Stavební rozpočet'!J15</f>
        <v>0</v>
      </c>
      <c r="G12" s="64">
        <f>'Stavební rozpočet'!L15</f>
        <v>3.05781052</v>
      </c>
      <c r="H12" s="60" t="s">
        <v>584</v>
      </c>
      <c r="I12" s="47">
        <f t="shared" si="0"/>
        <v>0</v>
      </c>
    </row>
    <row r="13" spans="1:9" ht="12.75">
      <c r="A13" s="232" t="s">
        <v>69</v>
      </c>
      <c r="B13" s="168"/>
      <c r="C13" s="22" t="s">
        <v>263</v>
      </c>
      <c r="D13" s="47">
        <f>'Stavební rozpočet'!H24</f>
        <v>0</v>
      </c>
      <c r="E13" s="47">
        <f>'Stavební rozpočet'!I24</f>
        <v>0</v>
      </c>
      <c r="F13" s="47">
        <f>'Stavební rozpočet'!J24</f>
        <v>0</v>
      </c>
      <c r="G13" s="64">
        <f>'Stavební rozpočet'!L24</f>
        <v>2.56683</v>
      </c>
      <c r="H13" s="60" t="s">
        <v>584</v>
      </c>
      <c r="I13" s="47">
        <f t="shared" si="0"/>
        <v>0</v>
      </c>
    </row>
    <row r="14" spans="1:9" ht="12.75">
      <c r="A14" s="232" t="s">
        <v>70</v>
      </c>
      <c r="B14" s="168"/>
      <c r="C14" s="22" t="s">
        <v>266</v>
      </c>
      <c r="D14" s="47">
        <f>'Stavební rozpočet'!H27</f>
        <v>0</v>
      </c>
      <c r="E14" s="47">
        <f>'Stavební rozpočet'!I27</f>
        <v>0</v>
      </c>
      <c r="F14" s="47">
        <f>'Stavební rozpočet'!J27</f>
        <v>0</v>
      </c>
      <c r="G14" s="64">
        <f>'Stavební rozpočet'!L27</f>
        <v>0.30004</v>
      </c>
      <c r="H14" s="60" t="s">
        <v>584</v>
      </c>
      <c r="I14" s="47">
        <f t="shared" si="0"/>
        <v>0</v>
      </c>
    </row>
    <row r="15" spans="1:9" ht="12.75">
      <c r="A15" s="232" t="s">
        <v>132</v>
      </c>
      <c r="B15" s="168"/>
      <c r="C15" s="22" t="s">
        <v>271</v>
      </c>
      <c r="D15" s="47">
        <f>'Stavební rozpočet'!H35</f>
        <v>0</v>
      </c>
      <c r="E15" s="47">
        <f>'Stavební rozpočet'!I35</f>
        <v>0</v>
      </c>
      <c r="F15" s="47">
        <f>'Stavební rozpočet'!J35</f>
        <v>0</v>
      </c>
      <c r="G15" s="64">
        <f>'Stavební rozpočet'!L35</f>
        <v>0.03495</v>
      </c>
      <c r="H15" s="60" t="s">
        <v>584</v>
      </c>
      <c r="I15" s="47">
        <f t="shared" si="0"/>
        <v>0</v>
      </c>
    </row>
    <row r="16" spans="1:9" ht="12.75">
      <c r="A16" s="232" t="s">
        <v>144</v>
      </c>
      <c r="B16" s="168"/>
      <c r="C16" s="22" t="s">
        <v>287</v>
      </c>
      <c r="D16" s="47">
        <f>'Stavební rozpočet'!H57</f>
        <v>0</v>
      </c>
      <c r="E16" s="47">
        <f>'Stavební rozpočet'!I57</f>
        <v>0</v>
      </c>
      <c r="F16" s="47">
        <f>'Stavební rozpočet'!J57</f>
        <v>0</v>
      </c>
      <c r="G16" s="64">
        <f>'Stavební rozpočet'!L57</f>
        <v>1.175644</v>
      </c>
      <c r="H16" s="60" t="s">
        <v>584</v>
      </c>
      <c r="I16" s="47">
        <f t="shared" si="0"/>
        <v>0</v>
      </c>
    </row>
    <row r="17" spans="1:9" ht="12.75">
      <c r="A17" s="232" t="s">
        <v>168</v>
      </c>
      <c r="B17" s="168"/>
      <c r="C17" s="22" t="s">
        <v>332</v>
      </c>
      <c r="D17" s="47">
        <f>'Stavební rozpočet'!H130</f>
        <v>0</v>
      </c>
      <c r="E17" s="47">
        <f>'Stavební rozpočet'!I130</f>
        <v>0</v>
      </c>
      <c r="F17" s="47">
        <f>'Stavební rozpočet'!J130</f>
        <v>0</v>
      </c>
      <c r="G17" s="64">
        <f>'Stavební rozpočet'!L130</f>
        <v>0.25089</v>
      </c>
      <c r="H17" s="60" t="s">
        <v>584</v>
      </c>
      <c r="I17" s="47">
        <f t="shared" si="0"/>
        <v>0</v>
      </c>
    </row>
    <row r="18" spans="1:9" ht="12.75">
      <c r="A18" s="232" t="s">
        <v>186</v>
      </c>
      <c r="B18" s="168"/>
      <c r="C18" s="22" t="s">
        <v>350</v>
      </c>
      <c r="D18" s="47">
        <f>'Stavební rozpočet'!H164</f>
        <v>0</v>
      </c>
      <c r="E18" s="47">
        <f>'Stavební rozpočet'!I164</f>
        <v>0</v>
      </c>
      <c r="F18" s="47">
        <f>'Stavební rozpočet'!J164</f>
        <v>0</v>
      </c>
      <c r="G18" s="64">
        <f>'Stavební rozpočet'!L164</f>
        <v>0.0164</v>
      </c>
      <c r="H18" s="60" t="s">
        <v>584</v>
      </c>
      <c r="I18" s="47">
        <f t="shared" si="0"/>
        <v>0</v>
      </c>
    </row>
    <row r="19" spans="1:9" ht="12.75">
      <c r="A19" s="232" t="s">
        <v>190</v>
      </c>
      <c r="B19" s="168"/>
      <c r="C19" s="22" t="s">
        <v>355</v>
      </c>
      <c r="D19" s="47">
        <f>'Stavební rozpočet'!H174</f>
        <v>0</v>
      </c>
      <c r="E19" s="47">
        <f>'Stavební rozpočet'!I174</f>
        <v>0</v>
      </c>
      <c r="F19" s="47">
        <f>'Stavební rozpočet'!J174</f>
        <v>0</v>
      </c>
      <c r="G19" s="64">
        <f>'Stavební rozpočet'!L174</f>
        <v>0.009960400000000001</v>
      </c>
      <c r="H19" s="60" t="s">
        <v>584</v>
      </c>
      <c r="I19" s="47">
        <f t="shared" si="0"/>
        <v>0</v>
      </c>
    </row>
    <row r="20" spans="1:9" ht="12.75">
      <c r="A20" s="232" t="s">
        <v>195</v>
      </c>
      <c r="B20" s="168"/>
      <c r="C20" s="22" t="s">
        <v>361</v>
      </c>
      <c r="D20" s="47">
        <f>'Stavební rozpočet'!H182</f>
        <v>0</v>
      </c>
      <c r="E20" s="47">
        <f>'Stavební rozpočet'!I182</f>
        <v>0</v>
      </c>
      <c r="F20" s="47">
        <f>'Stavební rozpočet'!J182</f>
        <v>0</v>
      </c>
      <c r="G20" s="64">
        <f>'Stavební rozpočet'!L182</f>
        <v>0.05</v>
      </c>
      <c r="H20" s="60" t="s">
        <v>584</v>
      </c>
      <c r="I20" s="47">
        <f t="shared" si="0"/>
        <v>0</v>
      </c>
    </row>
    <row r="21" spans="1:9" ht="12.75">
      <c r="A21" s="232" t="s">
        <v>198</v>
      </c>
      <c r="B21" s="168"/>
      <c r="C21" s="22" t="s">
        <v>364</v>
      </c>
      <c r="D21" s="47">
        <f>'Stavební rozpočet'!H186</f>
        <v>0</v>
      </c>
      <c r="E21" s="47">
        <f>'Stavební rozpočet'!I186</f>
        <v>0</v>
      </c>
      <c r="F21" s="47">
        <f>'Stavební rozpočet'!J186</f>
        <v>0</v>
      </c>
      <c r="G21" s="64">
        <f>'Stavební rozpočet'!L186</f>
        <v>0.15209060000000002</v>
      </c>
      <c r="H21" s="60" t="s">
        <v>584</v>
      </c>
      <c r="I21" s="47">
        <f t="shared" si="0"/>
        <v>0</v>
      </c>
    </row>
    <row r="22" spans="1:9" ht="12.75">
      <c r="A22" s="232" t="s">
        <v>204</v>
      </c>
      <c r="B22" s="168"/>
      <c r="C22" s="22" t="s">
        <v>371</v>
      </c>
      <c r="D22" s="47">
        <f>'Stavební rozpočet'!H196</f>
        <v>0</v>
      </c>
      <c r="E22" s="47">
        <f>'Stavební rozpočet'!I196</f>
        <v>0</v>
      </c>
      <c r="F22" s="47">
        <f>'Stavební rozpočet'!J196</f>
        <v>0</v>
      </c>
      <c r="G22" s="64">
        <f>'Stavební rozpočet'!L196</f>
        <v>0.5248843799999999</v>
      </c>
      <c r="H22" s="60" t="s">
        <v>584</v>
      </c>
      <c r="I22" s="47">
        <f t="shared" si="0"/>
        <v>0</v>
      </c>
    </row>
    <row r="23" spans="1:9" ht="12.75">
      <c r="A23" s="232" t="s">
        <v>209</v>
      </c>
      <c r="B23" s="168"/>
      <c r="C23" s="22" t="s">
        <v>377</v>
      </c>
      <c r="D23" s="47">
        <f>'Stavební rozpočet'!H205</f>
        <v>0</v>
      </c>
      <c r="E23" s="47">
        <f>'Stavební rozpočet'!I205</f>
        <v>0</v>
      </c>
      <c r="F23" s="47">
        <f>'Stavební rozpočet'!J205</f>
        <v>0</v>
      </c>
      <c r="G23" s="64">
        <f>'Stavební rozpočet'!L205</f>
        <v>1.102233852</v>
      </c>
      <c r="H23" s="60" t="s">
        <v>584</v>
      </c>
      <c r="I23" s="47">
        <f t="shared" si="0"/>
        <v>0</v>
      </c>
    </row>
    <row r="24" spans="1:9" ht="12.75">
      <c r="A24" s="232" t="s">
        <v>214</v>
      </c>
      <c r="B24" s="168"/>
      <c r="C24" s="22" t="s">
        <v>386</v>
      </c>
      <c r="D24" s="47">
        <f>'Stavební rozpočet'!H216</f>
        <v>0</v>
      </c>
      <c r="E24" s="47">
        <f>'Stavební rozpočet'!I216</f>
        <v>0</v>
      </c>
      <c r="F24" s="47">
        <f>'Stavební rozpočet'!J216</f>
        <v>0</v>
      </c>
      <c r="G24" s="64">
        <f>'Stavební rozpočet'!L216</f>
        <v>0.005148</v>
      </c>
      <c r="H24" s="60" t="s">
        <v>584</v>
      </c>
      <c r="I24" s="47">
        <f t="shared" si="0"/>
        <v>0</v>
      </c>
    </row>
    <row r="25" spans="1:9" ht="12.75">
      <c r="A25" s="232" t="s">
        <v>216</v>
      </c>
      <c r="B25" s="168"/>
      <c r="C25" s="22" t="s">
        <v>390</v>
      </c>
      <c r="D25" s="47">
        <f>'Stavební rozpočet'!H220</f>
        <v>0</v>
      </c>
      <c r="E25" s="47">
        <f>'Stavební rozpočet'!I220</f>
        <v>0</v>
      </c>
      <c r="F25" s="47">
        <f>'Stavební rozpočet'!J220</f>
        <v>0</v>
      </c>
      <c r="G25" s="64">
        <f>'Stavební rozpočet'!L220</f>
        <v>0.03903329</v>
      </c>
      <c r="H25" s="60" t="s">
        <v>584</v>
      </c>
      <c r="I25" s="47">
        <f t="shared" si="0"/>
        <v>0</v>
      </c>
    </row>
    <row r="26" spans="1:9" ht="12.75">
      <c r="A26" s="232" t="s">
        <v>100</v>
      </c>
      <c r="B26" s="168"/>
      <c r="C26" s="22" t="s">
        <v>396</v>
      </c>
      <c r="D26" s="47">
        <f>'Stavební rozpočet'!H229</f>
        <v>0</v>
      </c>
      <c r="E26" s="47">
        <f>'Stavební rozpočet'!I229</f>
        <v>0</v>
      </c>
      <c r="F26" s="47">
        <f>'Stavební rozpočet'!J229</f>
        <v>0</v>
      </c>
      <c r="G26" s="64">
        <f>'Stavební rozpočet'!L229</f>
        <v>0.1276944</v>
      </c>
      <c r="H26" s="60" t="s">
        <v>584</v>
      </c>
      <c r="I26" s="47">
        <f t="shared" si="0"/>
        <v>0</v>
      </c>
    </row>
    <row r="27" spans="1:9" ht="12.75">
      <c r="A27" s="232" t="s">
        <v>101</v>
      </c>
      <c r="B27" s="168"/>
      <c r="C27" s="22" t="s">
        <v>398</v>
      </c>
      <c r="D27" s="47">
        <f>'Stavební rozpočet'!H232</f>
        <v>0</v>
      </c>
      <c r="E27" s="47">
        <f>'Stavební rozpočet'!I232</f>
        <v>0</v>
      </c>
      <c r="F27" s="47">
        <f>'Stavební rozpočet'!J232</f>
        <v>0</v>
      </c>
      <c r="G27" s="64">
        <f>'Stavební rozpočet'!L232</f>
        <v>0.0112628</v>
      </c>
      <c r="H27" s="60" t="s">
        <v>584</v>
      </c>
      <c r="I27" s="47">
        <f t="shared" si="0"/>
        <v>0</v>
      </c>
    </row>
    <row r="28" spans="1:9" ht="12.75">
      <c r="A28" s="232" t="s">
        <v>102</v>
      </c>
      <c r="B28" s="168"/>
      <c r="C28" s="22" t="s">
        <v>404</v>
      </c>
      <c r="D28" s="47">
        <f>'Stavební rozpočet'!H240</f>
        <v>0</v>
      </c>
      <c r="E28" s="47">
        <f>'Stavební rozpočet'!I240</f>
        <v>0</v>
      </c>
      <c r="F28" s="47">
        <f>'Stavební rozpočet'!J240</f>
        <v>0</v>
      </c>
      <c r="G28" s="64">
        <f>'Stavební rozpočet'!L240</f>
        <v>6.719156687500001</v>
      </c>
      <c r="H28" s="60" t="s">
        <v>584</v>
      </c>
      <c r="I28" s="47">
        <f t="shared" si="0"/>
        <v>0</v>
      </c>
    </row>
    <row r="29" spans="1:9" ht="12.75">
      <c r="A29" s="232" t="s">
        <v>103</v>
      </c>
      <c r="B29" s="168"/>
      <c r="C29" s="22" t="s">
        <v>415</v>
      </c>
      <c r="D29" s="47">
        <f>'Stavební rozpočet'!H254</f>
        <v>0</v>
      </c>
      <c r="E29" s="47">
        <f>'Stavební rozpočet'!I254</f>
        <v>0</v>
      </c>
      <c r="F29" s="47">
        <f>'Stavební rozpočet'!J254</f>
        <v>0</v>
      </c>
      <c r="G29" s="64">
        <f>'Stavební rozpočet'!L254</f>
        <v>4.9507747</v>
      </c>
      <c r="H29" s="60" t="s">
        <v>584</v>
      </c>
      <c r="I29" s="47">
        <f t="shared" si="0"/>
        <v>0</v>
      </c>
    </row>
    <row r="30" spans="1:9" ht="12.75">
      <c r="A30" s="232" t="s">
        <v>239</v>
      </c>
      <c r="B30" s="168"/>
      <c r="C30" s="22" t="s">
        <v>429</v>
      </c>
      <c r="D30" s="47">
        <f>'Stavební rozpočet'!H272</f>
        <v>0</v>
      </c>
      <c r="E30" s="47">
        <f>'Stavební rozpočet'!I272</f>
        <v>0</v>
      </c>
      <c r="F30" s="47">
        <f>'Stavební rozpočet'!J272</f>
        <v>0</v>
      </c>
      <c r="G30" s="64">
        <f>'Stavební rozpočet'!L272</f>
        <v>0</v>
      </c>
      <c r="H30" s="60" t="s">
        <v>584</v>
      </c>
      <c r="I30" s="47">
        <f t="shared" si="0"/>
        <v>0</v>
      </c>
    </row>
    <row r="31" spans="1:9" ht="12.75">
      <c r="A31" s="233" t="s">
        <v>241</v>
      </c>
      <c r="B31" s="190"/>
      <c r="C31" s="57" t="s">
        <v>431</v>
      </c>
      <c r="D31" s="62">
        <f>'Stavební rozpočet'!H274</f>
        <v>0</v>
      </c>
      <c r="E31" s="62">
        <f>'Stavební rozpočet'!I274</f>
        <v>0</v>
      </c>
      <c r="F31" s="62">
        <f>'Stavební rozpočet'!J274</f>
        <v>0</v>
      </c>
      <c r="G31" s="65">
        <f>'Stavební rozpočet'!L274</f>
        <v>0</v>
      </c>
      <c r="H31" s="60" t="s">
        <v>584</v>
      </c>
      <c r="I31" s="47">
        <f t="shared" si="0"/>
        <v>0</v>
      </c>
    </row>
    <row r="32" spans="1:7" ht="12.75">
      <c r="A32" s="9"/>
      <c r="B32" s="9"/>
      <c r="C32" s="9"/>
      <c r="D32" s="9"/>
      <c r="E32" s="33" t="s">
        <v>522</v>
      </c>
      <c r="F32" s="54">
        <f>SUM(F11:F31)</f>
        <v>0</v>
      </c>
      <c r="G32" s="9"/>
    </row>
  </sheetData>
  <sheetProtection password="CF56" sheet="1"/>
  <mergeCells count="47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/>
  <pageMargins left="0.394" right="0.394" top="0.591" bottom="0.591" header="0.5" footer="0.5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7"/>
  <sheetViews>
    <sheetView zoomScale="70" zoomScaleNormal="70" zoomScalePageLayoutView="0" workbookViewId="0" topLeftCell="D1">
      <pane ySplit="11" topLeftCell="A246" activePane="bottomLeft" state="frozen"/>
      <selection pane="topLeft" activeCell="A1" sqref="A1"/>
      <selection pane="bottomLeft" activeCell="G283" sqref="G28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39.140625" style="0" customWidth="1"/>
    <col min="4" max="4" width="88.281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241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4" ht="12.75">
      <c r="A2" s="199" t="s">
        <v>1</v>
      </c>
      <c r="B2" s="200"/>
      <c r="C2" s="201" t="s">
        <v>682</v>
      </c>
      <c r="D2" s="202"/>
      <c r="E2" s="242" t="s">
        <v>500</v>
      </c>
      <c r="F2" s="200"/>
      <c r="G2" s="242" t="s">
        <v>6</v>
      </c>
      <c r="H2" s="204" t="s">
        <v>516</v>
      </c>
      <c r="I2" s="204" t="s">
        <v>523</v>
      </c>
      <c r="J2" s="200"/>
      <c r="K2" s="200"/>
      <c r="L2" s="200"/>
      <c r="M2" s="260"/>
      <c r="N2" s="5"/>
    </row>
    <row r="3" spans="1:14" ht="12.75">
      <c r="A3" s="194"/>
      <c r="B3" s="168"/>
      <c r="C3" s="203"/>
      <c r="D3" s="203"/>
      <c r="E3" s="168"/>
      <c r="F3" s="168"/>
      <c r="G3" s="168"/>
      <c r="H3" s="168"/>
      <c r="I3" s="168"/>
      <c r="J3" s="168"/>
      <c r="K3" s="168"/>
      <c r="L3" s="168"/>
      <c r="M3" s="196"/>
      <c r="N3" s="5"/>
    </row>
    <row r="4" spans="1:14" ht="12.75">
      <c r="A4" s="188" t="s">
        <v>2</v>
      </c>
      <c r="B4" s="168"/>
      <c r="C4" s="167" t="s">
        <v>247</v>
      </c>
      <c r="D4" s="168"/>
      <c r="E4" s="191" t="s">
        <v>501</v>
      </c>
      <c r="F4" s="168"/>
      <c r="G4" s="191" t="s">
        <v>6</v>
      </c>
      <c r="H4" s="167" t="s">
        <v>517</v>
      </c>
      <c r="I4" s="167" t="s">
        <v>524</v>
      </c>
      <c r="J4" s="168"/>
      <c r="K4" s="168"/>
      <c r="L4" s="168"/>
      <c r="M4" s="196"/>
      <c r="N4" s="5"/>
    </row>
    <row r="5" spans="1:14" ht="12.75">
      <c r="A5" s="194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96"/>
      <c r="N5" s="5"/>
    </row>
    <row r="6" spans="1:14" ht="12.75">
      <c r="A6" s="188" t="s">
        <v>3</v>
      </c>
      <c r="B6" s="168"/>
      <c r="C6" s="167" t="s">
        <v>248</v>
      </c>
      <c r="D6" s="168"/>
      <c r="E6" s="191" t="s">
        <v>502</v>
      </c>
      <c r="F6" s="168"/>
      <c r="G6" s="191" t="s">
        <v>6</v>
      </c>
      <c r="H6" s="167" t="s">
        <v>518</v>
      </c>
      <c r="I6" s="191" t="s">
        <v>525</v>
      </c>
      <c r="J6" s="168"/>
      <c r="K6" s="168"/>
      <c r="L6" s="168"/>
      <c r="M6" s="196"/>
      <c r="N6" s="5"/>
    </row>
    <row r="7" spans="1:14" ht="12.75">
      <c r="A7" s="194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96"/>
      <c r="N7" s="5"/>
    </row>
    <row r="8" spans="1:14" ht="12.75">
      <c r="A8" s="188" t="s">
        <v>4</v>
      </c>
      <c r="B8" s="168"/>
      <c r="C8" s="167">
        <v>8013259</v>
      </c>
      <c r="D8" s="168"/>
      <c r="E8" s="191" t="s">
        <v>503</v>
      </c>
      <c r="F8" s="168"/>
      <c r="G8" s="191" t="s">
        <v>648</v>
      </c>
      <c r="H8" s="167" t="s">
        <v>519</v>
      </c>
      <c r="I8" s="167" t="s">
        <v>526</v>
      </c>
      <c r="J8" s="168"/>
      <c r="K8" s="168"/>
      <c r="L8" s="168"/>
      <c r="M8" s="196"/>
      <c r="N8" s="5"/>
    </row>
    <row r="9" spans="1:14" ht="12.75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5"/>
    </row>
    <row r="10" spans="1:64" ht="12.75">
      <c r="A10" s="1" t="s">
        <v>5</v>
      </c>
      <c r="B10" s="11" t="s">
        <v>122</v>
      </c>
      <c r="C10" s="251" t="s">
        <v>249</v>
      </c>
      <c r="D10" s="252"/>
      <c r="E10" s="11" t="s">
        <v>504</v>
      </c>
      <c r="F10" s="25" t="s">
        <v>512</v>
      </c>
      <c r="G10" s="30" t="s">
        <v>514</v>
      </c>
      <c r="H10" s="253" t="s">
        <v>520</v>
      </c>
      <c r="I10" s="254"/>
      <c r="J10" s="255"/>
      <c r="K10" s="253" t="s">
        <v>529</v>
      </c>
      <c r="L10" s="255"/>
      <c r="M10" s="38" t="s">
        <v>531</v>
      </c>
      <c r="N10" s="46"/>
      <c r="BK10" s="37" t="s">
        <v>575</v>
      </c>
      <c r="BL10" s="51" t="s">
        <v>578</v>
      </c>
    </row>
    <row r="11" spans="1:62" ht="12.75">
      <c r="A11" s="2" t="s">
        <v>6</v>
      </c>
      <c r="B11" s="12" t="s">
        <v>6</v>
      </c>
      <c r="C11" s="256" t="s">
        <v>250</v>
      </c>
      <c r="D11" s="257"/>
      <c r="E11" s="12" t="s">
        <v>6</v>
      </c>
      <c r="F11" s="12" t="s">
        <v>6</v>
      </c>
      <c r="G11" s="31" t="s">
        <v>515</v>
      </c>
      <c r="H11" s="32" t="s">
        <v>521</v>
      </c>
      <c r="I11" s="34" t="s">
        <v>527</v>
      </c>
      <c r="J11" s="35" t="s">
        <v>528</v>
      </c>
      <c r="K11" s="32" t="s">
        <v>530</v>
      </c>
      <c r="L11" s="35" t="s">
        <v>528</v>
      </c>
      <c r="M11" s="39" t="s">
        <v>532</v>
      </c>
      <c r="N11" s="46"/>
      <c r="Z11" s="37" t="s">
        <v>533</v>
      </c>
      <c r="AA11" s="37" t="s">
        <v>534</v>
      </c>
      <c r="AB11" s="37" t="s">
        <v>535</v>
      </c>
      <c r="AC11" s="37" t="s">
        <v>536</v>
      </c>
      <c r="AD11" s="37" t="s">
        <v>537</v>
      </c>
      <c r="AE11" s="37" t="s">
        <v>538</v>
      </c>
      <c r="AF11" s="37" t="s">
        <v>539</v>
      </c>
      <c r="AG11" s="37" t="s">
        <v>540</v>
      </c>
      <c r="AH11" s="37" t="s">
        <v>541</v>
      </c>
      <c r="BH11" s="37" t="s">
        <v>572</v>
      </c>
      <c r="BI11" s="37" t="s">
        <v>573</v>
      </c>
      <c r="BJ11" s="37" t="s">
        <v>574</v>
      </c>
    </row>
    <row r="12" spans="1:47" ht="12.75">
      <c r="A12" s="3"/>
      <c r="B12" s="13" t="s">
        <v>40</v>
      </c>
      <c r="C12" s="258" t="s">
        <v>251</v>
      </c>
      <c r="D12" s="259"/>
      <c r="E12" s="23" t="s">
        <v>6</v>
      </c>
      <c r="F12" s="23" t="s">
        <v>6</v>
      </c>
      <c r="G12" s="23" t="s">
        <v>6</v>
      </c>
      <c r="H12" s="52">
        <f>SUM(H13:H13)</f>
        <v>0</v>
      </c>
      <c r="I12" s="52">
        <f>SUM(I13:I13)</f>
        <v>0</v>
      </c>
      <c r="J12" s="52">
        <f>SUM(J13:J13)</f>
        <v>0</v>
      </c>
      <c r="K12" s="36"/>
      <c r="L12" s="52">
        <f>SUM(L13:L13)</f>
        <v>0.0762584</v>
      </c>
      <c r="M12" s="40"/>
      <c r="N12" s="5"/>
      <c r="AI12" s="37"/>
      <c r="AS12" s="53">
        <f>SUM(AJ13:AJ13)</f>
        <v>0</v>
      </c>
      <c r="AT12" s="53">
        <f>SUM(AK13:AK13)</f>
        <v>0</v>
      </c>
      <c r="AU12" s="53">
        <f>SUM(AL13:AL13)</f>
        <v>0</v>
      </c>
    </row>
    <row r="13" spans="1:64" ht="12.75">
      <c r="A13" s="4" t="s">
        <v>7</v>
      </c>
      <c r="B13" s="14" t="s">
        <v>123</v>
      </c>
      <c r="C13" s="244" t="s">
        <v>252</v>
      </c>
      <c r="D13" s="245"/>
      <c r="E13" s="14" t="s">
        <v>505</v>
      </c>
      <c r="F13" s="26">
        <v>2.768</v>
      </c>
      <c r="G13" s="155">
        <v>0</v>
      </c>
      <c r="H13" s="26">
        <f>F13*AO13</f>
        <v>0</v>
      </c>
      <c r="I13" s="26">
        <f>F13*AP13</f>
        <v>0</v>
      </c>
      <c r="J13" s="26">
        <f>F13*G13</f>
        <v>0</v>
      </c>
      <c r="K13" s="26">
        <v>0.02755</v>
      </c>
      <c r="L13" s="26">
        <f>F13*K13</f>
        <v>0.0762584</v>
      </c>
      <c r="M13" s="41" t="s">
        <v>683</v>
      </c>
      <c r="N13" s="5"/>
      <c r="Z13" s="47">
        <f>IF(AQ13="5",BJ13,0)</f>
        <v>0</v>
      </c>
      <c r="AB13" s="47">
        <f>IF(AQ13="1",BH13,0)</f>
        <v>0</v>
      </c>
      <c r="AC13" s="47">
        <f>IF(AQ13="1",BI13,0)</f>
        <v>0</v>
      </c>
      <c r="AD13" s="47">
        <f>IF(AQ13="7",BH13,0)</f>
        <v>0</v>
      </c>
      <c r="AE13" s="47">
        <f>IF(AQ13="7",BI13,0)</f>
        <v>0</v>
      </c>
      <c r="AF13" s="47">
        <f>IF(AQ13="2",BH13,0)</f>
        <v>0</v>
      </c>
      <c r="AG13" s="47">
        <f>IF(AQ13="2",BI13,0)</f>
        <v>0</v>
      </c>
      <c r="AH13" s="47">
        <f>IF(AQ13="0",BJ13,0)</f>
        <v>0</v>
      </c>
      <c r="AI13" s="37"/>
      <c r="AJ13" s="26">
        <f>IF(AN13=0,J13,0)</f>
        <v>0</v>
      </c>
      <c r="AK13" s="26">
        <f>IF(AN13=15,J13,0)</f>
        <v>0</v>
      </c>
      <c r="AL13" s="26">
        <f>IF(AN13=21,J13,0)</f>
        <v>0</v>
      </c>
      <c r="AN13" s="47">
        <v>21</v>
      </c>
      <c r="AO13" s="47">
        <f>G13*0.51189159040725</f>
        <v>0</v>
      </c>
      <c r="AP13" s="47">
        <f>G13*(1-0.51189159040725)</f>
        <v>0</v>
      </c>
      <c r="AQ13" s="48" t="s">
        <v>7</v>
      </c>
      <c r="AV13" s="47">
        <f>AW13+AX13</f>
        <v>0</v>
      </c>
      <c r="AW13" s="47">
        <f>F13*AO13</f>
        <v>0</v>
      </c>
      <c r="AX13" s="47">
        <f>F13*AP13</f>
        <v>0</v>
      </c>
      <c r="AY13" s="50" t="s">
        <v>542</v>
      </c>
      <c r="AZ13" s="50" t="s">
        <v>563</v>
      </c>
      <c r="BA13" s="37" t="s">
        <v>571</v>
      </c>
      <c r="BC13" s="47">
        <f>AW13+AX13</f>
        <v>0</v>
      </c>
      <c r="BD13" s="47">
        <f>G13/(100-BE13)*100</f>
        <v>0</v>
      </c>
      <c r="BE13" s="47">
        <v>0</v>
      </c>
      <c r="BF13" s="47">
        <f>L13</f>
        <v>0.0762584</v>
      </c>
      <c r="BH13" s="26">
        <f>F13*AO13</f>
        <v>0</v>
      </c>
      <c r="BI13" s="26">
        <f>F13*AP13</f>
        <v>0</v>
      </c>
      <c r="BJ13" s="26">
        <f>F13*G13</f>
        <v>0</v>
      </c>
      <c r="BK13" s="26" t="s">
        <v>576</v>
      </c>
      <c r="BL13" s="47">
        <v>34</v>
      </c>
    </row>
    <row r="14" spans="1:14" ht="12.75">
      <c r="A14" s="5"/>
      <c r="C14" s="18" t="s">
        <v>253</v>
      </c>
      <c r="D14" s="20" t="s">
        <v>439</v>
      </c>
      <c r="F14" s="27">
        <v>2.768</v>
      </c>
      <c r="M14" s="42"/>
      <c r="N14" s="5"/>
    </row>
    <row r="15" spans="1:47" ht="12.75">
      <c r="A15" s="6"/>
      <c r="B15" s="15" t="s">
        <v>67</v>
      </c>
      <c r="C15" s="249" t="s">
        <v>254</v>
      </c>
      <c r="D15" s="250"/>
      <c r="E15" s="24" t="s">
        <v>6</v>
      </c>
      <c r="F15" s="24" t="s">
        <v>6</v>
      </c>
      <c r="G15" s="24" t="s">
        <v>6</v>
      </c>
      <c r="H15" s="53">
        <f>SUM(H16:H21)</f>
        <v>0</v>
      </c>
      <c r="I15" s="53">
        <f>SUM(I16:I21)</f>
        <v>0</v>
      </c>
      <c r="J15" s="53">
        <f>SUM(J16:J21)</f>
        <v>0</v>
      </c>
      <c r="K15" s="37"/>
      <c r="L15" s="53">
        <f>SUM(L16:L21)</f>
        <v>3.05781052</v>
      </c>
      <c r="M15" s="43"/>
      <c r="N15" s="5"/>
      <c r="AI15" s="37"/>
      <c r="AS15" s="53">
        <f>SUM(AJ16:AJ21)</f>
        <v>0</v>
      </c>
      <c r="AT15" s="53">
        <f>SUM(AK16:AK21)</f>
        <v>0</v>
      </c>
      <c r="AU15" s="53">
        <f>SUM(AL16:AL21)</f>
        <v>0</v>
      </c>
    </row>
    <row r="16" spans="1:64" ht="12.75">
      <c r="A16" s="4" t="s">
        <v>8</v>
      </c>
      <c r="B16" s="14" t="s">
        <v>124</v>
      </c>
      <c r="C16" s="244" t="s">
        <v>255</v>
      </c>
      <c r="D16" s="245"/>
      <c r="E16" s="14" t="s">
        <v>505</v>
      </c>
      <c r="F16" s="26">
        <v>3.4795</v>
      </c>
      <c r="G16" s="155">
        <v>0</v>
      </c>
      <c r="H16" s="26">
        <f>F16*AO16</f>
        <v>0</v>
      </c>
      <c r="I16" s="26">
        <f>F16*AP16</f>
        <v>0</v>
      </c>
      <c r="J16" s="26">
        <f>F16*G16</f>
        <v>0</v>
      </c>
      <c r="K16" s="26">
        <v>0.064</v>
      </c>
      <c r="L16" s="26">
        <f>F16*K16</f>
        <v>0.222688</v>
      </c>
      <c r="M16" s="41" t="s">
        <v>683</v>
      </c>
      <c r="N16" s="5"/>
      <c r="Z16" s="47">
        <f>IF(AQ16="5",BJ16,0)</f>
        <v>0</v>
      </c>
      <c r="AB16" s="47">
        <f>IF(AQ16="1",BH16,0)</f>
        <v>0</v>
      </c>
      <c r="AC16" s="47">
        <f>IF(AQ16="1",BI16,0)</f>
        <v>0</v>
      </c>
      <c r="AD16" s="47">
        <f>IF(AQ16="7",BH16,0)</f>
        <v>0</v>
      </c>
      <c r="AE16" s="47">
        <f>IF(AQ16="7",BI16,0)</f>
        <v>0</v>
      </c>
      <c r="AF16" s="47">
        <f>IF(AQ16="2",BH16,0)</f>
        <v>0</v>
      </c>
      <c r="AG16" s="47">
        <f>IF(AQ16="2",BI16,0)</f>
        <v>0</v>
      </c>
      <c r="AH16" s="47">
        <f>IF(AQ16="0",BJ16,0)</f>
        <v>0</v>
      </c>
      <c r="AI16" s="37"/>
      <c r="AJ16" s="26">
        <f>IF(AN16=0,J16,0)</f>
        <v>0</v>
      </c>
      <c r="AK16" s="26">
        <f>IF(AN16=15,J16,0)</f>
        <v>0</v>
      </c>
      <c r="AL16" s="26">
        <f>IF(AN16=21,J16,0)</f>
        <v>0</v>
      </c>
      <c r="AN16" s="47">
        <v>21</v>
      </c>
      <c r="AO16" s="47">
        <f>G16*0.478435991933876</f>
        <v>0</v>
      </c>
      <c r="AP16" s="47">
        <f>G16*(1-0.478435991933876)</f>
        <v>0</v>
      </c>
      <c r="AQ16" s="48" t="s">
        <v>7</v>
      </c>
      <c r="AV16" s="47">
        <f>AW16+AX16</f>
        <v>0</v>
      </c>
      <c r="AW16" s="47">
        <f>F16*AO16</f>
        <v>0</v>
      </c>
      <c r="AX16" s="47">
        <f>F16*AP16</f>
        <v>0</v>
      </c>
      <c r="AY16" s="50" t="s">
        <v>543</v>
      </c>
      <c r="AZ16" s="50" t="s">
        <v>564</v>
      </c>
      <c r="BA16" s="37" t="s">
        <v>571</v>
      </c>
      <c r="BC16" s="47">
        <f>AW16+AX16</f>
        <v>0</v>
      </c>
      <c r="BD16" s="47">
        <f>G16/(100-BE16)*100</f>
        <v>0</v>
      </c>
      <c r="BE16" s="47">
        <v>0</v>
      </c>
      <c r="BF16" s="47">
        <f>L16</f>
        <v>0.222688</v>
      </c>
      <c r="BH16" s="26">
        <f>F16*AO16</f>
        <v>0</v>
      </c>
      <c r="BI16" s="26">
        <f>F16*AP16</f>
        <v>0</v>
      </c>
      <c r="BJ16" s="26">
        <f>F16*G16</f>
        <v>0</v>
      </c>
      <c r="BK16" s="26" t="s">
        <v>576</v>
      </c>
      <c r="BL16" s="47">
        <v>61</v>
      </c>
    </row>
    <row r="17" spans="1:14" ht="12.75">
      <c r="A17" s="5"/>
      <c r="C17" s="18" t="s">
        <v>256</v>
      </c>
      <c r="D17" s="20" t="s">
        <v>440</v>
      </c>
      <c r="F17" s="27">
        <v>0.9795</v>
      </c>
      <c r="M17" s="42"/>
      <c r="N17" s="5"/>
    </row>
    <row r="18" spans="1:14" ht="12.75">
      <c r="A18" s="5"/>
      <c r="C18" s="18" t="s">
        <v>257</v>
      </c>
      <c r="D18" s="20" t="s">
        <v>441</v>
      </c>
      <c r="F18" s="27">
        <v>2.5</v>
      </c>
      <c r="M18" s="42"/>
      <c r="N18" s="5"/>
    </row>
    <row r="19" spans="1:64" ht="12.75">
      <c r="A19" s="4" t="s">
        <v>9</v>
      </c>
      <c r="B19" s="14" t="s">
        <v>125</v>
      </c>
      <c r="C19" s="244" t="s">
        <v>258</v>
      </c>
      <c r="D19" s="245"/>
      <c r="E19" s="14" t="s">
        <v>505</v>
      </c>
      <c r="F19" s="26">
        <v>59.394</v>
      </c>
      <c r="G19" s="155">
        <v>0</v>
      </c>
      <c r="H19" s="26">
        <f>F19*AO19</f>
        <v>0</v>
      </c>
      <c r="I19" s="26">
        <f>F19*AP19</f>
        <v>0</v>
      </c>
      <c r="J19" s="26">
        <f>F19*G19</f>
        <v>0</v>
      </c>
      <c r="K19" s="26">
        <v>0.04558</v>
      </c>
      <c r="L19" s="26">
        <f>F19*K19</f>
        <v>2.7071785200000003</v>
      </c>
      <c r="M19" s="41" t="s">
        <v>683</v>
      </c>
      <c r="N19" s="5"/>
      <c r="Z19" s="47">
        <f>IF(AQ19="5",BJ19,0)</f>
        <v>0</v>
      </c>
      <c r="AB19" s="47">
        <f>IF(AQ19="1",BH19,0)</f>
        <v>0</v>
      </c>
      <c r="AC19" s="47">
        <f>IF(AQ19="1",BI19,0)</f>
        <v>0</v>
      </c>
      <c r="AD19" s="47">
        <f>IF(AQ19="7",BH19,0)</f>
        <v>0</v>
      </c>
      <c r="AE19" s="47">
        <f>IF(AQ19="7",BI19,0)</f>
        <v>0</v>
      </c>
      <c r="AF19" s="47">
        <f>IF(AQ19="2",BH19,0)</f>
        <v>0</v>
      </c>
      <c r="AG19" s="47">
        <f>IF(AQ19="2",BI19,0)</f>
        <v>0</v>
      </c>
      <c r="AH19" s="47">
        <f>IF(AQ19="0",BJ19,0)</f>
        <v>0</v>
      </c>
      <c r="AI19" s="37"/>
      <c r="AJ19" s="26">
        <f>IF(AN19=0,J19,0)</f>
        <v>0</v>
      </c>
      <c r="AK19" s="26">
        <f>IF(AN19=15,J19,0)</f>
        <v>0</v>
      </c>
      <c r="AL19" s="26">
        <f>IF(AN19=21,J19,0)</f>
        <v>0</v>
      </c>
      <c r="AN19" s="47">
        <v>21</v>
      </c>
      <c r="AO19" s="47">
        <f>G19*0.150015112344571</f>
        <v>0</v>
      </c>
      <c r="AP19" s="47">
        <f>G19*(1-0.150015112344571)</f>
        <v>0</v>
      </c>
      <c r="AQ19" s="48" t="s">
        <v>7</v>
      </c>
      <c r="AV19" s="47">
        <f>AW19+AX19</f>
        <v>0</v>
      </c>
      <c r="AW19" s="47">
        <f>F19*AO19</f>
        <v>0</v>
      </c>
      <c r="AX19" s="47">
        <f>F19*AP19</f>
        <v>0</v>
      </c>
      <c r="AY19" s="50" t="s">
        <v>543</v>
      </c>
      <c r="AZ19" s="50" t="s">
        <v>564</v>
      </c>
      <c r="BA19" s="37" t="s">
        <v>571</v>
      </c>
      <c r="BC19" s="47">
        <f>AW19+AX19</f>
        <v>0</v>
      </c>
      <c r="BD19" s="47">
        <f>G19/(100-BE19)*100</f>
        <v>0</v>
      </c>
      <c r="BE19" s="47">
        <v>0</v>
      </c>
      <c r="BF19" s="47">
        <f>L19</f>
        <v>2.7071785200000003</v>
      </c>
      <c r="BH19" s="26">
        <f>F19*AO19</f>
        <v>0</v>
      </c>
      <c r="BI19" s="26">
        <f>F19*AP19</f>
        <v>0</v>
      </c>
      <c r="BJ19" s="26">
        <f>F19*G19</f>
        <v>0</v>
      </c>
      <c r="BK19" s="26" t="s">
        <v>576</v>
      </c>
      <c r="BL19" s="47">
        <v>61</v>
      </c>
    </row>
    <row r="20" spans="1:14" ht="12.75">
      <c r="A20" s="5"/>
      <c r="C20" s="18" t="s">
        <v>259</v>
      </c>
      <c r="D20" s="20" t="s">
        <v>442</v>
      </c>
      <c r="F20" s="27">
        <v>59.394</v>
      </c>
      <c r="M20" s="42"/>
      <c r="N20" s="5"/>
    </row>
    <row r="21" spans="1:64" ht="12.75">
      <c r="A21" s="4" t="s">
        <v>10</v>
      </c>
      <c r="B21" s="14" t="s">
        <v>126</v>
      </c>
      <c r="C21" s="244" t="s">
        <v>260</v>
      </c>
      <c r="D21" s="245"/>
      <c r="E21" s="14" t="s">
        <v>505</v>
      </c>
      <c r="F21" s="26">
        <v>42.648</v>
      </c>
      <c r="G21" s="155">
        <v>0</v>
      </c>
      <c r="H21" s="26">
        <f>F21*AO21</f>
        <v>0</v>
      </c>
      <c r="I21" s="26">
        <f>F21*AP21</f>
        <v>0</v>
      </c>
      <c r="J21" s="26">
        <f>F21*G21</f>
        <v>0</v>
      </c>
      <c r="K21" s="26">
        <v>0.003</v>
      </c>
      <c r="L21" s="26">
        <f>F21*K21</f>
        <v>0.127944</v>
      </c>
      <c r="M21" s="41" t="s">
        <v>683</v>
      </c>
      <c r="N21" s="5"/>
      <c r="Z21" s="47">
        <f>IF(AQ21="5",BJ21,0)</f>
        <v>0</v>
      </c>
      <c r="AB21" s="47">
        <f>IF(AQ21="1",BH21,0)</f>
        <v>0</v>
      </c>
      <c r="AC21" s="47">
        <f>IF(AQ21="1",BI21,0)</f>
        <v>0</v>
      </c>
      <c r="AD21" s="47">
        <f>IF(AQ21="7",BH21,0)</f>
        <v>0</v>
      </c>
      <c r="AE21" s="47">
        <f>IF(AQ21="7",BI21,0)</f>
        <v>0</v>
      </c>
      <c r="AF21" s="47">
        <f>IF(AQ21="2",BH21,0)</f>
        <v>0</v>
      </c>
      <c r="AG21" s="47">
        <f>IF(AQ21="2",BI21,0)</f>
        <v>0</v>
      </c>
      <c r="AH21" s="47">
        <f>IF(AQ21="0",BJ21,0)</f>
        <v>0</v>
      </c>
      <c r="AI21" s="37"/>
      <c r="AJ21" s="26">
        <f>IF(AN21=0,J21,0)</f>
        <v>0</v>
      </c>
      <c r="AK21" s="26">
        <f>IF(AN21=15,J21,0)</f>
        <v>0</v>
      </c>
      <c r="AL21" s="26">
        <f>IF(AN21=21,J21,0)</f>
        <v>0</v>
      </c>
      <c r="AN21" s="47">
        <v>21</v>
      </c>
      <c r="AO21" s="47">
        <f>G21*0.15884893617534</f>
        <v>0</v>
      </c>
      <c r="AP21" s="47">
        <f>G21*(1-0.15884893617534)</f>
        <v>0</v>
      </c>
      <c r="AQ21" s="48" t="s">
        <v>7</v>
      </c>
      <c r="AV21" s="47">
        <f>AW21+AX21</f>
        <v>0</v>
      </c>
      <c r="AW21" s="47">
        <f>F21*AO21</f>
        <v>0</v>
      </c>
      <c r="AX21" s="47">
        <f>F21*AP21</f>
        <v>0</v>
      </c>
      <c r="AY21" s="50" t="s">
        <v>543</v>
      </c>
      <c r="AZ21" s="50" t="s">
        <v>564</v>
      </c>
      <c r="BA21" s="37" t="s">
        <v>571</v>
      </c>
      <c r="BC21" s="47">
        <f>AW21+AX21</f>
        <v>0</v>
      </c>
      <c r="BD21" s="47">
        <f>G21/(100-BE21)*100</f>
        <v>0</v>
      </c>
      <c r="BE21" s="47">
        <v>0</v>
      </c>
      <c r="BF21" s="47">
        <f>L21</f>
        <v>0.127944</v>
      </c>
      <c r="BH21" s="26">
        <f>F21*AO21</f>
        <v>0</v>
      </c>
      <c r="BI21" s="26">
        <f>F21*AP21</f>
        <v>0</v>
      </c>
      <c r="BJ21" s="26">
        <f>F21*G21</f>
        <v>0</v>
      </c>
      <c r="BK21" s="26" t="s">
        <v>576</v>
      </c>
      <c r="BL21" s="47">
        <v>61</v>
      </c>
    </row>
    <row r="22" spans="1:14" ht="12.75">
      <c r="A22" s="5"/>
      <c r="C22" s="18" t="s">
        <v>261</v>
      </c>
      <c r="D22" s="20" t="s">
        <v>443</v>
      </c>
      <c r="F22" s="27">
        <v>21.12</v>
      </c>
      <c r="M22" s="42"/>
      <c r="N22" s="5"/>
    </row>
    <row r="23" spans="1:14" ht="12.75">
      <c r="A23" s="5"/>
      <c r="C23" s="18" t="s">
        <v>262</v>
      </c>
      <c r="D23" s="20" t="s">
        <v>444</v>
      </c>
      <c r="F23" s="27">
        <v>21.528</v>
      </c>
      <c r="M23" s="42"/>
      <c r="N23" s="5"/>
    </row>
    <row r="24" spans="1:47" ht="12.75">
      <c r="A24" s="6"/>
      <c r="B24" s="15" t="s">
        <v>69</v>
      </c>
      <c r="C24" s="249" t="s">
        <v>263</v>
      </c>
      <c r="D24" s="250"/>
      <c r="E24" s="24" t="s">
        <v>6</v>
      </c>
      <c r="F24" s="24" t="s">
        <v>6</v>
      </c>
      <c r="G24" s="24" t="s">
        <v>6</v>
      </c>
      <c r="H24" s="53">
        <f>SUM(H25:H25)</f>
        <v>0</v>
      </c>
      <c r="I24" s="53">
        <f>SUM(I25:I25)</f>
        <v>0</v>
      </c>
      <c r="J24" s="53">
        <f>SUM(J25:J25)</f>
        <v>0</v>
      </c>
      <c r="K24" s="37"/>
      <c r="L24" s="53">
        <f>SUM(L25:L25)</f>
        <v>2.56683</v>
      </c>
      <c r="M24" s="43"/>
      <c r="N24" s="5"/>
      <c r="AI24" s="37"/>
      <c r="AS24" s="53">
        <f>SUM(AJ25:AJ25)</f>
        <v>0</v>
      </c>
      <c r="AT24" s="53">
        <f>SUM(AK25:AK25)</f>
        <v>0</v>
      </c>
      <c r="AU24" s="53">
        <f>SUM(AL25:AL25)</f>
        <v>0</v>
      </c>
    </row>
    <row r="25" spans="1:64" ht="12.75">
      <c r="A25" s="4" t="s">
        <v>11</v>
      </c>
      <c r="B25" s="14" t="s">
        <v>127</v>
      </c>
      <c r="C25" s="244" t="s">
        <v>264</v>
      </c>
      <c r="D25" s="245"/>
      <c r="E25" s="14" t="s">
        <v>505</v>
      </c>
      <c r="F25" s="26">
        <v>21.57</v>
      </c>
      <c r="G25" s="155">
        <v>0</v>
      </c>
      <c r="H25" s="26">
        <f>F25*AO25</f>
        <v>0</v>
      </c>
      <c r="I25" s="26">
        <f>F25*AP25</f>
        <v>0</v>
      </c>
      <c r="J25" s="26">
        <f>F25*G25</f>
        <v>0</v>
      </c>
      <c r="K25" s="26">
        <v>0.119</v>
      </c>
      <c r="L25" s="26">
        <f>F25*K25</f>
        <v>2.56683</v>
      </c>
      <c r="M25" s="41" t="s">
        <v>683</v>
      </c>
      <c r="N25" s="5"/>
      <c r="Z25" s="47">
        <f>IF(AQ25="5",BJ25,0)</f>
        <v>0</v>
      </c>
      <c r="AB25" s="47">
        <f>IF(AQ25="1",BH25,0)</f>
        <v>0</v>
      </c>
      <c r="AC25" s="47">
        <f>IF(AQ25="1",BI25,0)</f>
        <v>0</v>
      </c>
      <c r="AD25" s="47">
        <f>IF(AQ25="7",BH25,0)</f>
        <v>0</v>
      </c>
      <c r="AE25" s="47">
        <f>IF(AQ25="7",BI25,0)</f>
        <v>0</v>
      </c>
      <c r="AF25" s="47">
        <f>IF(AQ25="2",BH25,0)</f>
        <v>0</v>
      </c>
      <c r="AG25" s="47">
        <f>IF(AQ25="2",BI25,0)</f>
        <v>0</v>
      </c>
      <c r="AH25" s="47">
        <f>IF(AQ25="0",BJ25,0)</f>
        <v>0</v>
      </c>
      <c r="AI25" s="37"/>
      <c r="AJ25" s="26">
        <f>IF(AN25=0,J25,0)</f>
        <v>0</v>
      </c>
      <c r="AK25" s="26">
        <f>IF(AN25=15,J25,0)</f>
        <v>0</v>
      </c>
      <c r="AL25" s="26">
        <f>IF(AN25=21,J25,0)</f>
        <v>0</v>
      </c>
      <c r="AN25" s="47">
        <v>21</v>
      </c>
      <c r="AO25" s="47">
        <f>G25*0.387025934063745</f>
        <v>0</v>
      </c>
      <c r="AP25" s="47">
        <f>G25*(1-0.387025934063745)</f>
        <v>0</v>
      </c>
      <c r="AQ25" s="48" t="s">
        <v>7</v>
      </c>
      <c r="AV25" s="47">
        <f>AW25+AX25</f>
        <v>0</v>
      </c>
      <c r="AW25" s="47">
        <f>F25*AO25</f>
        <v>0</v>
      </c>
      <c r="AX25" s="47">
        <f>F25*AP25</f>
        <v>0</v>
      </c>
      <c r="AY25" s="50" t="s">
        <v>544</v>
      </c>
      <c r="AZ25" s="50" t="s">
        <v>564</v>
      </c>
      <c r="BA25" s="37" t="s">
        <v>571</v>
      </c>
      <c r="BC25" s="47">
        <f>AW25+AX25</f>
        <v>0</v>
      </c>
      <c r="BD25" s="47">
        <f>G25/(100-BE25)*100</f>
        <v>0</v>
      </c>
      <c r="BE25" s="47">
        <v>0</v>
      </c>
      <c r="BF25" s="47">
        <f>L25</f>
        <v>2.56683</v>
      </c>
      <c r="BH25" s="26">
        <f>F25*AO25</f>
        <v>0</v>
      </c>
      <c r="BI25" s="26">
        <f>F25*AP25</f>
        <v>0</v>
      </c>
      <c r="BJ25" s="26">
        <f>F25*G25</f>
        <v>0</v>
      </c>
      <c r="BK25" s="26" t="s">
        <v>576</v>
      </c>
      <c r="BL25" s="47">
        <v>63</v>
      </c>
    </row>
    <row r="26" spans="1:14" ht="12.75">
      <c r="A26" s="5"/>
      <c r="C26" s="18" t="s">
        <v>265</v>
      </c>
      <c r="D26" s="20" t="s">
        <v>445</v>
      </c>
      <c r="F26" s="27">
        <v>21.57</v>
      </c>
      <c r="M26" s="42"/>
      <c r="N26" s="5"/>
    </row>
    <row r="27" spans="1:47" ht="12.75">
      <c r="A27" s="6"/>
      <c r="B27" s="15" t="s">
        <v>70</v>
      </c>
      <c r="C27" s="249" t="s">
        <v>266</v>
      </c>
      <c r="D27" s="250"/>
      <c r="E27" s="24" t="s">
        <v>6</v>
      </c>
      <c r="F27" s="24" t="s">
        <v>6</v>
      </c>
      <c r="G27" s="24" t="s">
        <v>6</v>
      </c>
      <c r="H27" s="53">
        <f>SUM(H28:H34)</f>
        <v>0</v>
      </c>
      <c r="I27" s="53">
        <f>SUM(I28:I34)</f>
        <v>0</v>
      </c>
      <c r="J27" s="53">
        <f>SUM(J28:J34)</f>
        <v>0</v>
      </c>
      <c r="K27" s="37"/>
      <c r="L27" s="53">
        <f>SUM(L28:L34)</f>
        <v>0.30004</v>
      </c>
      <c r="M27" s="43"/>
      <c r="N27" s="5"/>
      <c r="AI27" s="37"/>
      <c r="AS27" s="53">
        <f>SUM(AJ28:AJ34)</f>
        <v>0</v>
      </c>
      <c r="AT27" s="53">
        <f>SUM(AK28:AK34)</f>
        <v>0</v>
      </c>
      <c r="AU27" s="53">
        <f>SUM(AL28:AL34)</f>
        <v>0</v>
      </c>
    </row>
    <row r="28" spans="1:64" ht="12.75">
      <c r="A28" s="4" t="s">
        <v>12</v>
      </c>
      <c r="B28" s="14" t="s">
        <v>128</v>
      </c>
      <c r="C28" s="244" t="s">
        <v>267</v>
      </c>
      <c r="D28" s="245"/>
      <c r="E28" s="14" t="s">
        <v>506</v>
      </c>
      <c r="F28" s="26">
        <v>4</v>
      </c>
      <c r="G28" s="155">
        <v>0</v>
      </c>
      <c r="H28" s="26">
        <f>F28*AO28</f>
        <v>0</v>
      </c>
      <c r="I28" s="26">
        <f>F28*AP28</f>
        <v>0</v>
      </c>
      <c r="J28" s="26">
        <f>F28*G28</f>
        <v>0</v>
      </c>
      <c r="K28" s="26">
        <v>0.05401</v>
      </c>
      <c r="L28" s="26">
        <f>F28*K28</f>
        <v>0.21604</v>
      </c>
      <c r="M28" s="41" t="s">
        <v>683</v>
      </c>
      <c r="N28" s="5"/>
      <c r="Z28" s="47">
        <f>IF(AQ28="5",BJ28,0)</f>
        <v>0</v>
      </c>
      <c r="AB28" s="47">
        <f>IF(AQ28="1",BH28,0)</f>
        <v>0</v>
      </c>
      <c r="AC28" s="47">
        <f>IF(AQ28="1",BI28,0)</f>
        <v>0</v>
      </c>
      <c r="AD28" s="47">
        <f>IF(AQ28="7",BH28,0)</f>
        <v>0</v>
      </c>
      <c r="AE28" s="47">
        <f>IF(AQ28="7",BI28,0)</f>
        <v>0</v>
      </c>
      <c r="AF28" s="47">
        <f>IF(AQ28="2",BH28,0)</f>
        <v>0</v>
      </c>
      <c r="AG28" s="47">
        <f>IF(AQ28="2",BI28,0)</f>
        <v>0</v>
      </c>
      <c r="AH28" s="47">
        <f>IF(AQ28="0",BJ28,0)</f>
        <v>0</v>
      </c>
      <c r="AI28" s="37"/>
      <c r="AJ28" s="26">
        <f>IF(AN28=0,J28,0)</f>
        <v>0</v>
      </c>
      <c r="AK28" s="26">
        <f>IF(AN28=15,J28,0)</f>
        <v>0</v>
      </c>
      <c r="AL28" s="26">
        <f>IF(AN28=21,J28,0)</f>
        <v>0</v>
      </c>
      <c r="AN28" s="47">
        <v>21</v>
      </c>
      <c r="AO28" s="47">
        <f>G28*0.0984508348794063</f>
        <v>0</v>
      </c>
      <c r="AP28" s="47">
        <f>G28*(1-0.0984508348794063)</f>
        <v>0</v>
      </c>
      <c r="AQ28" s="48" t="s">
        <v>7</v>
      </c>
      <c r="AV28" s="47">
        <f>AW28+AX28</f>
        <v>0</v>
      </c>
      <c r="AW28" s="47">
        <f>F28*AO28</f>
        <v>0</v>
      </c>
      <c r="AX28" s="47">
        <f>F28*AP28</f>
        <v>0</v>
      </c>
      <c r="AY28" s="50" t="s">
        <v>545</v>
      </c>
      <c r="AZ28" s="50" t="s">
        <v>564</v>
      </c>
      <c r="BA28" s="37" t="s">
        <v>571</v>
      </c>
      <c r="BC28" s="47">
        <f>AW28+AX28</f>
        <v>0</v>
      </c>
      <c r="BD28" s="47">
        <f>G28/(100-BE28)*100</f>
        <v>0</v>
      </c>
      <c r="BE28" s="47">
        <v>0</v>
      </c>
      <c r="BF28" s="47">
        <f>L28</f>
        <v>0.21604</v>
      </c>
      <c r="BH28" s="26">
        <f>F28*AO28</f>
        <v>0</v>
      </c>
      <c r="BI28" s="26">
        <f>F28*AP28</f>
        <v>0</v>
      </c>
      <c r="BJ28" s="26">
        <f>F28*G28</f>
        <v>0</v>
      </c>
      <c r="BK28" s="26" t="s">
        <v>576</v>
      </c>
      <c r="BL28" s="47">
        <v>64</v>
      </c>
    </row>
    <row r="29" spans="1:14" ht="12.75">
      <c r="A29" s="5"/>
      <c r="C29" s="18" t="s">
        <v>10</v>
      </c>
      <c r="D29" s="20" t="s">
        <v>446</v>
      </c>
      <c r="F29" s="27">
        <v>4</v>
      </c>
      <c r="M29" s="42"/>
      <c r="N29" s="5"/>
    </row>
    <row r="30" spans="1:64" ht="12.75">
      <c r="A30" s="7" t="s">
        <v>13</v>
      </c>
      <c r="B30" s="16" t="s">
        <v>129</v>
      </c>
      <c r="C30" s="247" t="s">
        <v>268</v>
      </c>
      <c r="D30" s="248"/>
      <c r="E30" s="16" t="s">
        <v>506</v>
      </c>
      <c r="F30" s="28">
        <v>2</v>
      </c>
      <c r="G30" s="156">
        <v>0</v>
      </c>
      <c r="H30" s="28">
        <f>F30*AO30</f>
        <v>0</v>
      </c>
      <c r="I30" s="28">
        <f>F30*AP30</f>
        <v>0</v>
      </c>
      <c r="J30" s="28">
        <f>F30*G30</f>
        <v>0</v>
      </c>
      <c r="K30" s="28">
        <v>0.021</v>
      </c>
      <c r="L30" s="28">
        <f>F30*K30</f>
        <v>0.042</v>
      </c>
      <c r="M30" s="41" t="s">
        <v>683</v>
      </c>
      <c r="N30" s="5"/>
      <c r="Z30" s="47">
        <f>IF(AQ30="5",BJ30,0)</f>
        <v>0</v>
      </c>
      <c r="AB30" s="47">
        <f>IF(AQ30="1",BH30,0)</f>
        <v>0</v>
      </c>
      <c r="AC30" s="47">
        <f>IF(AQ30="1",BI30,0)</f>
        <v>0</v>
      </c>
      <c r="AD30" s="47">
        <f>IF(AQ30="7",BH30,0)</f>
        <v>0</v>
      </c>
      <c r="AE30" s="47">
        <f>IF(AQ30="7",BI30,0)</f>
        <v>0</v>
      </c>
      <c r="AF30" s="47">
        <f>IF(AQ30="2",BH30,0)</f>
        <v>0</v>
      </c>
      <c r="AG30" s="47">
        <f>IF(AQ30="2",BI30,0)</f>
        <v>0</v>
      </c>
      <c r="AH30" s="47">
        <f>IF(AQ30="0",BJ30,0)</f>
        <v>0</v>
      </c>
      <c r="AI30" s="37"/>
      <c r="AJ30" s="28">
        <f>IF(AN30=0,J30,0)</f>
        <v>0</v>
      </c>
      <c r="AK30" s="28">
        <f>IF(AN30=15,J30,0)</f>
        <v>0</v>
      </c>
      <c r="AL30" s="28">
        <f>IF(AN30=21,J30,0)</f>
        <v>0</v>
      </c>
      <c r="AN30" s="47">
        <v>21</v>
      </c>
      <c r="AO30" s="47">
        <f>G30*1</f>
        <v>0</v>
      </c>
      <c r="AP30" s="47">
        <f>G30*(1-1)</f>
        <v>0</v>
      </c>
      <c r="AQ30" s="49" t="s">
        <v>7</v>
      </c>
      <c r="AV30" s="47">
        <f>AW30+AX30</f>
        <v>0</v>
      </c>
      <c r="AW30" s="47">
        <f>F30*AO30</f>
        <v>0</v>
      </c>
      <c r="AX30" s="47">
        <f>F30*AP30</f>
        <v>0</v>
      </c>
      <c r="AY30" s="50" t="s">
        <v>545</v>
      </c>
      <c r="AZ30" s="50" t="s">
        <v>564</v>
      </c>
      <c r="BA30" s="37" t="s">
        <v>571</v>
      </c>
      <c r="BC30" s="47">
        <f>AW30+AX30</f>
        <v>0</v>
      </c>
      <c r="BD30" s="47">
        <f>G30/(100-BE30)*100</f>
        <v>0</v>
      </c>
      <c r="BE30" s="47">
        <v>0</v>
      </c>
      <c r="BF30" s="47">
        <f>L30</f>
        <v>0.042</v>
      </c>
      <c r="BH30" s="28">
        <f>F30*AO30</f>
        <v>0</v>
      </c>
      <c r="BI30" s="28">
        <f>F30*AP30</f>
        <v>0</v>
      </c>
      <c r="BJ30" s="28">
        <f>F30*G30</f>
        <v>0</v>
      </c>
      <c r="BK30" s="28" t="s">
        <v>577</v>
      </c>
      <c r="BL30" s="47">
        <v>64</v>
      </c>
    </row>
    <row r="31" spans="1:14" ht="12.75">
      <c r="A31" s="5"/>
      <c r="C31" s="18" t="s">
        <v>8</v>
      </c>
      <c r="D31" s="20" t="s">
        <v>446</v>
      </c>
      <c r="F31" s="27">
        <v>2</v>
      </c>
      <c r="M31" s="42"/>
      <c r="N31" s="5"/>
    </row>
    <row r="32" spans="1:64" ht="12.75">
      <c r="A32" s="7" t="s">
        <v>14</v>
      </c>
      <c r="B32" s="16" t="s">
        <v>130</v>
      </c>
      <c r="C32" s="247" t="s">
        <v>269</v>
      </c>
      <c r="D32" s="248"/>
      <c r="E32" s="16" t="s">
        <v>506</v>
      </c>
      <c r="F32" s="28">
        <v>2</v>
      </c>
      <c r="G32" s="156">
        <v>0</v>
      </c>
      <c r="H32" s="28">
        <f>F32*AO32</f>
        <v>0</v>
      </c>
      <c r="I32" s="28">
        <f>F32*AP32</f>
        <v>0</v>
      </c>
      <c r="J32" s="28">
        <f>F32*G32</f>
        <v>0</v>
      </c>
      <c r="K32" s="28">
        <v>0.021</v>
      </c>
      <c r="L32" s="28">
        <f>F32*K32</f>
        <v>0.042</v>
      </c>
      <c r="M32" s="41" t="s">
        <v>683</v>
      </c>
      <c r="N32" s="5"/>
      <c r="Z32" s="47">
        <f>IF(AQ32="5",BJ32,0)</f>
        <v>0</v>
      </c>
      <c r="AB32" s="47">
        <f>IF(AQ32="1",BH32,0)</f>
        <v>0</v>
      </c>
      <c r="AC32" s="47">
        <f>IF(AQ32="1",BI32,0)</f>
        <v>0</v>
      </c>
      <c r="AD32" s="47">
        <f>IF(AQ32="7",BH32,0)</f>
        <v>0</v>
      </c>
      <c r="AE32" s="47">
        <f>IF(AQ32="7",BI32,0)</f>
        <v>0</v>
      </c>
      <c r="AF32" s="47">
        <f>IF(AQ32="2",BH32,0)</f>
        <v>0</v>
      </c>
      <c r="AG32" s="47">
        <f>IF(AQ32="2",BI32,0)</f>
        <v>0</v>
      </c>
      <c r="AH32" s="47">
        <f>IF(AQ32="0",BJ32,0)</f>
        <v>0</v>
      </c>
      <c r="AI32" s="37"/>
      <c r="AJ32" s="28">
        <f>IF(AN32=0,J32,0)</f>
        <v>0</v>
      </c>
      <c r="AK32" s="28">
        <f>IF(AN32=15,J32,0)</f>
        <v>0</v>
      </c>
      <c r="AL32" s="28">
        <f>IF(AN32=21,J32,0)</f>
        <v>0</v>
      </c>
      <c r="AN32" s="47">
        <v>21</v>
      </c>
      <c r="AO32" s="47">
        <f>G32*1</f>
        <v>0</v>
      </c>
      <c r="AP32" s="47">
        <f>G32*(1-1)</f>
        <v>0</v>
      </c>
      <c r="AQ32" s="49" t="s">
        <v>7</v>
      </c>
      <c r="AV32" s="47">
        <f>AW32+AX32</f>
        <v>0</v>
      </c>
      <c r="AW32" s="47">
        <f>F32*AO32</f>
        <v>0</v>
      </c>
      <c r="AX32" s="47">
        <f>F32*AP32</f>
        <v>0</v>
      </c>
      <c r="AY32" s="50" t="s">
        <v>545</v>
      </c>
      <c r="AZ32" s="50" t="s">
        <v>564</v>
      </c>
      <c r="BA32" s="37" t="s">
        <v>571</v>
      </c>
      <c r="BC32" s="47">
        <f>AW32+AX32</f>
        <v>0</v>
      </c>
      <c r="BD32" s="47">
        <f>G32/(100-BE32)*100</f>
        <v>0</v>
      </c>
      <c r="BE32" s="47">
        <v>0</v>
      </c>
      <c r="BF32" s="47">
        <f>L32</f>
        <v>0.042</v>
      </c>
      <c r="BH32" s="28">
        <f>F32*AO32</f>
        <v>0</v>
      </c>
      <c r="BI32" s="28">
        <f>F32*AP32</f>
        <v>0</v>
      </c>
      <c r="BJ32" s="28">
        <f>F32*G32</f>
        <v>0</v>
      </c>
      <c r="BK32" s="28" t="s">
        <v>577</v>
      </c>
      <c r="BL32" s="47">
        <v>64</v>
      </c>
    </row>
    <row r="33" spans="1:14" ht="12.75">
      <c r="A33" s="5"/>
      <c r="C33" s="18" t="s">
        <v>8</v>
      </c>
      <c r="D33" s="20" t="s">
        <v>446</v>
      </c>
      <c r="F33" s="27">
        <v>2</v>
      </c>
      <c r="M33" s="42"/>
      <c r="N33" s="5"/>
    </row>
    <row r="34" spans="1:64" ht="12.75">
      <c r="A34" s="4" t="s">
        <v>15</v>
      </c>
      <c r="B34" s="14" t="s">
        <v>131</v>
      </c>
      <c r="C34" s="244" t="s">
        <v>270</v>
      </c>
      <c r="D34" s="245"/>
      <c r="E34" s="14" t="s">
        <v>507</v>
      </c>
      <c r="F34" s="26">
        <v>6.00094</v>
      </c>
      <c r="G34" s="155">
        <v>0</v>
      </c>
      <c r="H34" s="26">
        <f>F34*AO34</f>
        <v>0</v>
      </c>
      <c r="I34" s="26">
        <f>F34*AP34</f>
        <v>0</v>
      </c>
      <c r="J34" s="26">
        <f>F34*G34</f>
        <v>0</v>
      </c>
      <c r="K34" s="26">
        <v>0</v>
      </c>
      <c r="L34" s="26">
        <f>F34*K34</f>
        <v>0</v>
      </c>
      <c r="M34" s="41" t="s">
        <v>683</v>
      </c>
      <c r="N34" s="5"/>
      <c r="Z34" s="47">
        <f>IF(AQ34="5",BJ34,0)</f>
        <v>0</v>
      </c>
      <c r="AB34" s="47">
        <f>IF(AQ34="1",BH34,0)</f>
        <v>0</v>
      </c>
      <c r="AC34" s="47">
        <f>IF(AQ34="1",BI34,0)</f>
        <v>0</v>
      </c>
      <c r="AD34" s="47">
        <f>IF(AQ34="7",BH34,0)</f>
        <v>0</v>
      </c>
      <c r="AE34" s="47">
        <f>IF(AQ34="7",BI34,0)</f>
        <v>0</v>
      </c>
      <c r="AF34" s="47">
        <f>IF(AQ34="2",BH34,0)</f>
        <v>0</v>
      </c>
      <c r="AG34" s="47">
        <f>IF(AQ34="2",BI34,0)</f>
        <v>0</v>
      </c>
      <c r="AH34" s="47">
        <f>IF(AQ34="0",BJ34,0)</f>
        <v>0</v>
      </c>
      <c r="AI34" s="37"/>
      <c r="AJ34" s="26">
        <f>IF(AN34=0,J34,0)</f>
        <v>0</v>
      </c>
      <c r="AK34" s="26">
        <f>IF(AN34=15,J34,0)</f>
        <v>0</v>
      </c>
      <c r="AL34" s="26">
        <f>IF(AN34=21,J34,0)</f>
        <v>0</v>
      </c>
      <c r="AN34" s="47">
        <v>21</v>
      </c>
      <c r="AO34" s="47">
        <f>G34*0</f>
        <v>0</v>
      </c>
      <c r="AP34" s="47">
        <f>G34*(1-0)</f>
        <v>0</v>
      </c>
      <c r="AQ34" s="48" t="s">
        <v>11</v>
      </c>
      <c r="AV34" s="47">
        <f>AW34+AX34</f>
        <v>0</v>
      </c>
      <c r="AW34" s="47">
        <f>F34*AO34</f>
        <v>0</v>
      </c>
      <c r="AX34" s="47">
        <f>F34*AP34</f>
        <v>0</v>
      </c>
      <c r="AY34" s="50" t="s">
        <v>545</v>
      </c>
      <c r="AZ34" s="50" t="s">
        <v>564</v>
      </c>
      <c r="BA34" s="37" t="s">
        <v>571</v>
      </c>
      <c r="BC34" s="47">
        <f>AW34+AX34</f>
        <v>0</v>
      </c>
      <c r="BD34" s="47">
        <f>G34/(100-BE34)*100</f>
        <v>0</v>
      </c>
      <c r="BE34" s="47">
        <v>0</v>
      </c>
      <c r="BF34" s="47">
        <f>L34</f>
        <v>0</v>
      </c>
      <c r="BH34" s="26">
        <f>F34*AO34</f>
        <v>0</v>
      </c>
      <c r="BI34" s="26">
        <f>F34*AP34</f>
        <v>0</v>
      </c>
      <c r="BJ34" s="26">
        <f>F34*G34</f>
        <v>0</v>
      </c>
      <c r="BK34" s="26" t="s">
        <v>576</v>
      </c>
      <c r="BL34" s="47">
        <v>64</v>
      </c>
    </row>
    <row r="35" spans="1:47" ht="12.75">
      <c r="A35" s="6"/>
      <c r="B35" s="15" t="s">
        <v>132</v>
      </c>
      <c r="C35" s="249" t="s">
        <v>271</v>
      </c>
      <c r="D35" s="250"/>
      <c r="E35" s="24" t="s">
        <v>6</v>
      </c>
      <c r="F35" s="24" t="s">
        <v>6</v>
      </c>
      <c r="G35" s="24" t="s">
        <v>6</v>
      </c>
      <c r="H35" s="53">
        <f>SUM(H36:H56)</f>
        <v>0</v>
      </c>
      <c r="I35" s="53">
        <f>SUM(I36:I56)</f>
        <v>0</v>
      </c>
      <c r="J35" s="53">
        <f>SUM(J36:J56)</f>
        <v>0</v>
      </c>
      <c r="K35" s="37"/>
      <c r="L35" s="53">
        <f>SUM(L36:L56)</f>
        <v>0.03495</v>
      </c>
      <c r="M35" s="43"/>
      <c r="N35" s="5"/>
      <c r="AI35" s="37"/>
      <c r="AS35" s="53">
        <f>SUM(AJ36:AJ56)</f>
        <v>0</v>
      </c>
      <c r="AT35" s="53">
        <f>SUM(AK36:AK56)</f>
        <v>0</v>
      </c>
      <c r="AU35" s="53">
        <f>SUM(AL36:AL56)</f>
        <v>0</v>
      </c>
    </row>
    <row r="36" spans="1:64" ht="12.75">
      <c r="A36" s="4" t="s">
        <v>16</v>
      </c>
      <c r="B36" s="14" t="s">
        <v>133</v>
      </c>
      <c r="C36" s="244" t="s">
        <v>272</v>
      </c>
      <c r="D36" s="245"/>
      <c r="E36" s="14" t="s">
        <v>508</v>
      </c>
      <c r="F36" s="26">
        <v>2</v>
      </c>
      <c r="G36" s="155">
        <v>0</v>
      </c>
      <c r="H36" s="26">
        <f>F36*AO36</f>
        <v>0</v>
      </c>
      <c r="I36" s="26">
        <f>F36*AP36</f>
        <v>0</v>
      </c>
      <c r="J36" s="26">
        <f>F36*G36</f>
        <v>0</v>
      </c>
      <c r="K36" s="26">
        <v>0.00038</v>
      </c>
      <c r="L36" s="26">
        <f>F36*K36</f>
        <v>0.00076</v>
      </c>
      <c r="M36" s="41" t="s">
        <v>683</v>
      </c>
      <c r="N36" s="5"/>
      <c r="Z36" s="47">
        <f>IF(AQ36="5",BJ36,0)</f>
        <v>0</v>
      </c>
      <c r="AB36" s="47">
        <f>IF(AQ36="1",BH36,0)</f>
        <v>0</v>
      </c>
      <c r="AC36" s="47">
        <f>IF(AQ36="1",BI36,0)</f>
        <v>0</v>
      </c>
      <c r="AD36" s="47">
        <f>IF(AQ36="7",BH36,0)</f>
        <v>0</v>
      </c>
      <c r="AE36" s="47">
        <f>IF(AQ36="7",BI36,0)</f>
        <v>0</v>
      </c>
      <c r="AF36" s="47">
        <f>IF(AQ36="2",BH36,0)</f>
        <v>0</v>
      </c>
      <c r="AG36" s="47">
        <f>IF(AQ36="2",BI36,0)</f>
        <v>0</v>
      </c>
      <c r="AH36" s="47">
        <f>IF(AQ36="0",BJ36,0)</f>
        <v>0</v>
      </c>
      <c r="AI36" s="37"/>
      <c r="AJ36" s="26">
        <f>IF(AN36=0,J36,0)</f>
        <v>0</v>
      </c>
      <c r="AK36" s="26">
        <f>IF(AN36=15,J36,0)</f>
        <v>0</v>
      </c>
      <c r="AL36" s="26">
        <f>IF(AN36=21,J36,0)</f>
        <v>0</v>
      </c>
      <c r="AN36" s="47">
        <v>21</v>
      </c>
      <c r="AO36" s="47">
        <f>G36*0.340796645702306</f>
        <v>0</v>
      </c>
      <c r="AP36" s="47">
        <f>G36*(1-0.340796645702306)</f>
        <v>0</v>
      </c>
      <c r="AQ36" s="48" t="s">
        <v>13</v>
      </c>
      <c r="AV36" s="47">
        <f>AW36+AX36</f>
        <v>0</v>
      </c>
      <c r="AW36" s="47">
        <f>F36*AO36</f>
        <v>0</v>
      </c>
      <c r="AX36" s="47">
        <f>F36*AP36</f>
        <v>0</v>
      </c>
      <c r="AY36" s="50" t="s">
        <v>546</v>
      </c>
      <c r="AZ36" s="50" t="s">
        <v>565</v>
      </c>
      <c r="BA36" s="37" t="s">
        <v>571</v>
      </c>
      <c r="BC36" s="47">
        <f>AW36+AX36</f>
        <v>0</v>
      </c>
      <c r="BD36" s="47">
        <f>G36/(100-BE36)*100</f>
        <v>0</v>
      </c>
      <c r="BE36" s="47">
        <v>0</v>
      </c>
      <c r="BF36" s="47">
        <f>L36</f>
        <v>0.00076</v>
      </c>
      <c r="BH36" s="26">
        <f>F36*AO36</f>
        <v>0</v>
      </c>
      <c r="BI36" s="26">
        <f>F36*AP36</f>
        <v>0</v>
      </c>
      <c r="BJ36" s="26">
        <f>F36*G36</f>
        <v>0</v>
      </c>
      <c r="BK36" s="26" t="s">
        <v>576</v>
      </c>
      <c r="BL36" s="47">
        <v>721</v>
      </c>
    </row>
    <row r="37" spans="1:14" ht="12.75">
      <c r="A37" s="5"/>
      <c r="C37" s="18" t="s">
        <v>8</v>
      </c>
      <c r="D37" s="20" t="s">
        <v>447</v>
      </c>
      <c r="F37" s="27">
        <v>2</v>
      </c>
      <c r="M37" s="42"/>
      <c r="N37" s="5"/>
    </row>
    <row r="38" spans="1:64" ht="12.75">
      <c r="A38" s="4" t="s">
        <v>17</v>
      </c>
      <c r="B38" s="14" t="s">
        <v>134</v>
      </c>
      <c r="C38" s="244" t="s">
        <v>273</v>
      </c>
      <c r="D38" s="245"/>
      <c r="E38" s="14" t="s">
        <v>508</v>
      </c>
      <c r="F38" s="26">
        <v>10</v>
      </c>
      <c r="G38" s="155">
        <v>0</v>
      </c>
      <c r="H38" s="26">
        <f>F38*AO38</f>
        <v>0</v>
      </c>
      <c r="I38" s="26">
        <f>F38*AP38</f>
        <v>0</v>
      </c>
      <c r="J38" s="26">
        <f>F38*G38</f>
        <v>0</v>
      </c>
      <c r="K38" s="26">
        <v>0.00047</v>
      </c>
      <c r="L38" s="26">
        <f>F38*K38</f>
        <v>0.0047</v>
      </c>
      <c r="M38" s="41" t="s">
        <v>683</v>
      </c>
      <c r="N38" s="5"/>
      <c r="Z38" s="47">
        <f>IF(AQ38="5",BJ38,0)</f>
        <v>0</v>
      </c>
      <c r="AB38" s="47">
        <f>IF(AQ38="1",BH38,0)</f>
        <v>0</v>
      </c>
      <c r="AC38" s="47">
        <f>IF(AQ38="1",BI38,0)</f>
        <v>0</v>
      </c>
      <c r="AD38" s="47">
        <f>IF(AQ38="7",BH38,0)</f>
        <v>0</v>
      </c>
      <c r="AE38" s="47">
        <f>IF(AQ38="7",BI38,0)</f>
        <v>0</v>
      </c>
      <c r="AF38" s="47">
        <f>IF(AQ38="2",BH38,0)</f>
        <v>0</v>
      </c>
      <c r="AG38" s="47">
        <f>IF(AQ38="2",BI38,0)</f>
        <v>0</v>
      </c>
      <c r="AH38" s="47">
        <f>IF(AQ38="0",BJ38,0)</f>
        <v>0</v>
      </c>
      <c r="AI38" s="37"/>
      <c r="AJ38" s="26">
        <f>IF(AN38=0,J38,0)</f>
        <v>0</v>
      </c>
      <c r="AK38" s="26">
        <f>IF(AN38=15,J38,0)</f>
        <v>0</v>
      </c>
      <c r="AL38" s="26">
        <f>IF(AN38=21,J38,0)</f>
        <v>0</v>
      </c>
      <c r="AN38" s="47">
        <v>21</v>
      </c>
      <c r="AO38" s="47">
        <f>G38*0.328076190476191</f>
        <v>0</v>
      </c>
      <c r="AP38" s="47">
        <f>G38*(1-0.328076190476191)</f>
        <v>0</v>
      </c>
      <c r="AQ38" s="48" t="s">
        <v>13</v>
      </c>
      <c r="AV38" s="47">
        <f>AW38+AX38</f>
        <v>0</v>
      </c>
      <c r="AW38" s="47">
        <f>F38*AO38</f>
        <v>0</v>
      </c>
      <c r="AX38" s="47">
        <f>F38*AP38</f>
        <v>0</v>
      </c>
      <c r="AY38" s="50" t="s">
        <v>546</v>
      </c>
      <c r="AZ38" s="50" t="s">
        <v>565</v>
      </c>
      <c r="BA38" s="37" t="s">
        <v>571</v>
      </c>
      <c r="BC38" s="47">
        <f>AW38+AX38</f>
        <v>0</v>
      </c>
      <c r="BD38" s="47">
        <f>G38/(100-BE38)*100</f>
        <v>0</v>
      </c>
      <c r="BE38" s="47">
        <v>0</v>
      </c>
      <c r="BF38" s="47">
        <f>L38</f>
        <v>0.0047</v>
      </c>
      <c r="BH38" s="26">
        <f>F38*AO38</f>
        <v>0</v>
      </c>
      <c r="BI38" s="26">
        <f>F38*AP38</f>
        <v>0</v>
      </c>
      <c r="BJ38" s="26">
        <f>F38*G38</f>
        <v>0</v>
      </c>
      <c r="BK38" s="26" t="s">
        <v>576</v>
      </c>
      <c r="BL38" s="47">
        <v>721</v>
      </c>
    </row>
    <row r="39" spans="1:14" ht="12.75">
      <c r="A39" s="5"/>
      <c r="C39" s="18" t="s">
        <v>274</v>
      </c>
      <c r="D39" s="20" t="s">
        <v>441</v>
      </c>
      <c r="F39" s="27">
        <v>10</v>
      </c>
      <c r="M39" s="42"/>
      <c r="N39" s="5"/>
    </row>
    <row r="40" spans="1:64" ht="12.75">
      <c r="A40" s="4" t="s">
        <v>18</v>
      </c>
      <c r="B40" s="14" t="s">
        <v>135</v>
      </c>
      <c r="C40" s="244" t="s">
        <v>275</v>
      </c>
      <c r="D40" s="245"/>
      <c r="E40" s="14" t="s">
        <v>508</v>
      </c>
      <c r="F40" s="26">
        <v>5</v>
      </c>
      <c r="G40" s="155">
        <v>0</v>
      </c>
      <c r="H40" s="26">
        <f>F40*AO40</f>
        <v>0</v>
      </c>
      <c r="I40" s="26">
        <f>F40*AP40</f>
        <v>0</v>
      </c>
      <c r="J40" s="26">
        <f>F40*G40</f>
        <v>0</v>
      </c>
      <c r="K40" s="26">
        <v>0.0007</v>
      </c>
      <c r="L40" s="26">
        <f>F40*K40</f>
        <v>0.0035</v>
      </c>
      <c r="M40" s="41" t="s">
        <v>683</v>
      </c>
      <c r="N40" s="5"/>
      <c r="Z40" s="47">
        <f>IF(AQ40="5",BJ40,0)</f>
        <v>0</v>
      </c>
      <c r="AB40" s="47">
        <f>IF(AQ40="1",BH40,0)</f>
        <v>0</v>
      </c>
      <c r="AC40" s="47">
        <f>IF(AQ40="1",BI40,0)</f>
        <v>0</v>
      </c>
      <c r="AD40" s="47">
        <f>IF(AQ40="7",BH40,0)</f>
        <v>0</v>
      </c>
      <c r="AE40" s="47">
        <f>IF(AQ40="7",BI40,0)</f>
        <v>0</v>
      </c>
      <c r="AF40" s="47">
        <f>IF(AQ40="2",BH40,0)</f>
        <v>0</v>
      </c>
      <c r="AG40" s="47">
        <f>IF(AQ40="2",BI40,0)</f>
        <v>0</v>
      </c>
      <c r="AH40" s="47">
        <f>IF(AQ40="0",BJ40,0)</f>
        <v>0</v>
      </c>
      <c r="AI40" s="37"/>
      <c r="AJ40" s="26">
        <f>IF(AN40=0,J40,0)</f>
        <v>0</v>
      </c>
      <c r="AK40" s="26">
        <f>IF(AN40=15,J40,0)</f>
        <v>0</v>
      </c>
      <c r="AL40" s="26">
        <f>IF(AN40=21,J40,0)</f>
        <v>0</v>
      </c>
      <c r="AN40" s="47">
        <v>21</v>
      </c>
      <c r="AO40" s="47">
        <f>G40*0.354418604651163</f>
        <v>0</v>
      </c>
      <c r="AP40" s="47">
        <f>G40*(1-0.354418604651163)</f>
        <v>0</v>
      </c>
      <c r="AQ40" s="48" t="s">
        <v>13</v>
      </c>
      <c r="AV40" s="47">
        <f>AW40+AX40</f>
        <v>0</v>
      </c>
      <c r="AW40" s="47">
        <f>F40*AO40</f>
        <v>0</v>
      </c>
      <c r="AX40" s="47">
        <f>F40*AP40</f>
        <v>0</v>
      </c>
      <c r="AY40" s="50" t="s">
        <v>546</v>
      </c>
      <c r="AZ40" s="50" t="s">
        <v>565</v>
      </c>
      <c r="BA40" s="37" t="s">
        <v>571</v>
      </c>
      <c r="BC40" s="47">
        <f>AW40+AX40</f>
        <v>0</v>
      </c>
      <c r="BD40" s="47">
        <f>G40/(100-BE40)*100</f>
        <v>0</v>
      </c>
      <c r="BE40" s="47">
        <v>0</v>
      </c>
      <c r="BF40" s="47">
        <f>L40</f>
        <v>0.0035</v>
      </c>
      <c r="BH40" s="26">
        <f>F40*AO40</f>
        <v>0</v>
      </c>
      <c r="BI40" s="26">
        <f>F40*AP40</f>
        <v>0</v>
      </c>
      <c r="BJ40" s="26">
        <f>F40*G40</f>
        <v>0</v>
      </c>
      <c r="BK40" s="26" t="s">
        <v>576</v>
      </c>
      <c r="BL40" s="47">
        <v>721</v>
      </c>
    </row>
    <row r="41" spans="1:14" ht="12.75">
      <c r="A41" s="5"/>
      <c r="C41" s="18" t="s">
        <v>276</v>
      </c>
      <c r="D41" s="20" t="s">
        <v>441</v>
      </c>
      <c r="F41" s="27">
        <v>5</v>
      </c>
      <c r="M41" s="42"/>
      <c r="N41" s="5"/>
    </row>
    <row r="42" spans="1:64" ht="12.75">
      <c r="A42" s="4" t="s">
        <v>19</v>
      </c>
      <c r="B42" s="14" t="s">
        <v>136</v>
      </c>
      <c r="C42" s="244" t="s">
        <v>277</v>
      </c>
      <c r="D42" s="245"/>
      <c r="E42" s="14" t="s">
        <v>508</v>
      </c>
      <c r="F42" s="26">
        <v>3</v>
      </c>
      <c r="G42" s="155">
        <v>0</v>
      </c>
      <c r="H42" s="26">
        <f>F42*AO42</f>
        <v>0</v>
      </c>
      <c r="I42" s="26">
        <f>F42*AP42</f>
        <v>0</v>
      </c>
      <c r="J42" s="26">
        <f>F42*G42</f>
        <v>0</v>
      </c>
      <c r="K42" s="26">
        <v>0.00152</v>
      </c>
      <c r="L42" s="26">
        <f>F42*K42</f>
        <v>0.00456</v>
      </c>
      <c r="M42" s="41" t="s">
        <v>683</v>
      </c>
      <c r="N42" s="5"/>
      <c r="Z42" s="47">
        <f>IF(AQ42="5",BJ42,0)</f>
        <v>0</v>
      </c>
      <c r="AB42" s="47">
        <f>IF(AQ42="1",BH42,0)</f>
        <v>0</v>
      </c>
      <c r="AC42" s="47">
        <f>IF(AQ42="1",BI42,0)</f>
        <v>0</v>
      </c>
      <c r="AD42" s="47">
        <f>IF(AQ42="7",BH42,0)</f>
        <v>0</v>
      </c>
      <c r="AE42" s="47">
        <f>IF(AQ42="7",BI42,0)</f>
        <v>0</v>
      </c>
      <c r="AF42" s="47">
        <f>IF(AQ42="2",BH42,0)</f>
        <v>0</v>
      </c>
      <c r="AG42" s="47">
        <f>IF(AQ42="2",BI42,0)</f>
        <v>0</v>
      </c>
      <c r="AH42" s="47">
        <f>IF(AQ42="0",BJ42,0)</f>
        <v>0</v>
      </c>
      <c r="AI42" s="37"/>
      <c r="AJ42" s="26">
        <f>IF(AN42=0,J42,0)</f>
        <v>0</v>
      </c>
      <c r="AK42" s="26">
        <f>IF(AN42=15,J42,0)</f>
        <v>0</v>
      </c>
      <c r="AL42" s="26">
        <f>IF(AN42=21,J42,0)</f>
        <v>0</v>
      </c>
      <c r="AN42" s="47">
        <v>21</v>
      </c>
      <c r="AO42" s="47">
        <f>G42*0.310095808383234</f>
        <v>0</v>
      </c>
      <c r="AP42" s="47">
        <f>G42*(1-0.310095808383234)</f>
        <v>0</v>
      </c>
      <c r="AQ42" s="48" t="s">
        <v>13</v>
      </c>
      <c r="AV42" s="47">
        <f>AW42+AX42</f>
        <v>0</v>
      </c>
      <c r="AW42" s="47">
        <f>F42*AO42</f>
        <v>0</v>
      </c>
      <c r="AX42" s="47">
        <f>F42*AP42</f>
        <v>0</v>
      </c>
      <c r="AY42" s="50" t="s">
        <v>546</v>
      </c>
      <c r="AZ42" s="50" t="s">
        <v>565</v>
      </c>
      <c r="BA42" s="37" t="s">
        <v>571</v>
      </c>
      <c r="BC42" s="47">
        <f>AW42+AX42</f>
        <v>0</v>
      </c>
      <c r="BD42" s="47">
        <f>G42/(100-BE42)*100</f>
        <v>0</v>
      </c>
      <c r="BE42" s="47">
        <v>0</v>
      </c>
      <c r="BF42" s="47">
        <f>L42</f>
        <v>0.00456</v>
      </c>
      <c r="BH42" s="26">
        <f>F42*AO42</f>
        <v>0</v>
      </c>
      <c r="BI42" s="26">
        <f>F42*AP42</f>
        <v>0</v>
      </c>
      <c r="BJ42" s="26">
        <f>F42*G42</f>
        <v>0</v>
      </c>
      <c r="BK42" s="26" t="s">
        <v>576</v>
      </c>
      <c r="BL42" s="47">
        <v>721</v>
      </c>
    </row>
    <row r="43" spans="1:14" ht="12.75">
      <c r="A43" s="5"/>
      <c r="C43" s="18" t="s">
        <v>9</v>
      </c>
      <c r="D43" s="20" t="s">
        <v>441</v>
      </c>
      <c r="F43" s="27">
        <v>3</v>
      </c>
      <c r="M43" s="42"/>
      <c r="N43" s="5"/>
    </row>
    <row r="44" spans="1:64" ht="12.75">
      <c r="A44" s="4" t="s">
        <v>20</v>
      </c>
      <c r="B44" s="14" t="s">
        <v>137</v>
      </c>
      <c r="C44" s="244" t="s">
        <v>278</v>
      </c>
      <c r="D44" s="245"/>
      <c r="E44" s="14" t="s">
        <v>508</v>
      </c>
      <c r="F44" s="26">
        <v>9</v>
      </c>
      <c r="G44" s="155">
        <v>0</v>
      </c>
      <c r="H44" s="26">
        <f>F44*AO44</f>
        <v>0</v>
      </c>
      <c r="I44" s="26">
        <f>F44*AP44</f>
        <v>0</v>
      </c>
      <c r="J44" s="26">
        <f>F44*G44</f>
        <v>0</v>
      </c>
      <c r="K44" s="26">
        <v>0.00161</v>
      </c>
      <c r="L44" s="26">
        <f>F44*K44</f>
        <v>0.014490000000000001</v>
      </c>
      <c r="M44" s="41" t="s">
        <v>683</v>
      </c>
      <c r="N44" s="5"/>
      <c r="Z44" s="47">
        <f>IF(AQ44="5",BJ44,0)</f>
        <v>0</v>
      </c>
      <c r="AB44" s="47">
        <f>IF(AQ44="1",BH44,0)</f>
        <v>0</v>
      </c>
      <c r="AC44" s="47">
        <f>IF(AQ44="1",BI44,0)</f>
        <v>0</v>
      </c>
      <c r="AD44" s="47">
        <f>IF(AQ44="7",BH44,0)</f>
        <v>0</v>
      </c>
      <c r="AE44" s="47">
        <f>IF(AQ44="7",BI44,0)</f>
        <v>0</v>
      </c>
      <c r="AF44" s="47">
        <f>IF(AQ44="2",BH44,0)</f>
        <v>0</v>
      </c>
      <c r="AG44" s="47">
        <f>IF(AQ44="2",BI44,0)</f>
        <v>0</v>
      </c>
      <c r="AH44" s="47">
        <f>IF(AQ44="0",BJ44,0)</f>
        <v>0</v>
      </c>
      <c r="AI44" s="37"/>
      <c r="AJ44" s="26">
        <f>IF(AN44=0,J44,0)</f>
        <v>0</v>
      </c>
      <c r="AK44" s="26">
        <f>IF(AN44=15,J44,0)</f>
        <v>0</v>
      </c>
      <c r="AL44" s="26">
        <f>IF(AN44=21,J44,0)</f>
        <v>0</v>
      </c>
      <c r="AN44" s="47">
        <v>21</v>
      </c>
      <c r="AO44" s="47">
        <f>G44*0.641834355142606</f>
        <v>0</v>
      </c>
      <c r="AP44" s="47">
        <f>G44*(1-0.641834355142606)</f>
        <v>0</v>
      </c>
      <c r="AQ44" s="48" t="s">
        <v>13</v>
      </c>
      <c r="AV44" s="47">
        <f>AW44+AX44</f>
        <v>0</v>
      </c>
      <c r="AW44" s="47">
        <f>F44*AO44</f>
        <v>0</v>
      </c>
      <c r="AX44" s="47">
        <f>F44*AP44</f>
        <v>0</v>
      </c>
      <c r="AY44" s="50" t="s">
        <v>546</v>
      </c>
      <c r="AZ44" s="50" t="s">
        <v>565</v>
      </c>
      <c r="BA44" s="37" t="s">
        <v>571</v>
      </c>
      <c r="BC44" s="47">
        <f>AW44+AX44</f>
        <v>0</v>
      </c>
      <c r="BD44" s="47">
        <f>G44/(100-BE44)*100</f>
        <v>0</v>
      </c>
      <c r="BE44" s="47">
        <v>0</v>
      </c>
      <c r="BF44" s="47">
        <f>L44</f>
        <v>0.014490000000000001</v>
      </c>
      <c r="BH44" s="26">
        <f>F44*AO44</f>
        <v>0</v>
      </c>
      <c r="BI44" s="26">
        <f>F44*AP44</f>
        <v>0</v>
      </c>
      <c r="BJ44" s="26">
        <f>F44*G44</f>
        <v>0</v>
      </c>
      <c r="BK44" s="26" t="s">
        <v>576</v>
      </c>
      <c r="BL44" s="47">
        <v>721</v>
      </c>
    </row>
    <row r="45" spans="1:14" ht="12.75">
      <c r="A45" s="5"/>
      <c r="C45" s="18" t="s">
        <v>279</v>
      </c>
      <c r="D45" s="20" t="s">
        <v>441</v>
      </c>
      <c r="F45" s="27">
        <v>9</v>
      </c>
      <c r="M45" s="42"/>
      <c r="N45" s="5"/>
    </row>
    <row r="46" spans="1:64" ht="12.75">
      <c r="A46" s="4" t="s">
        <v>21</v>
      </c>
      <c r="B46" s="14" t="s">
        <v>138</v>
      </c>
      <c r="C46" s="244" t="s">
        <v>280</v>
      </c>
      <c r="D46" s="245"/>
      <c r="E46" s="14" t="s">
        <v>506</v>
      </c>
      <c r="F46" s="26">
        <v>5</v>
      </c>
      <c r="G46" s="155">
        <v>0</v>
      </c>
      <c r="H46" s="26">
        <f>F46*AO46</f>
        <v>0</v>
      </c>
      <c r="I46" s="26">
        <f>F46*AP46</f>
        <v>0</v>
      </c>
      <c r="J46" s="26">
        <f>F46*G46</f>
        <v>0</v>
      </c>
      <c r="K46" s="26">
        <v>0</v>
      </c>
      <c r="L46" s="26">
        <f>F46*K46</f>
        <v>0</v>
      </c>
      <c r="M46" s="41" t="s">
        <v>683</v>
      </c>
      <c r="N46" s="5"/>
      <c r="Z46" s="47">
        <f>IF(AQ46="5",BJ46,0)</f>
        <v>0</v>
      </c>
      <c r="AB46" s="47">
        <f>IF(AQ46="1",BH46,0)</f>
        <v>0</v>
      </c>
      <c r="AC46" s="47">
        <f>IF(AQ46="1",BI46,0)</f>
        <v>0</v>
      </c>
      <c r="AD46" s="47">
        <f>IF(AQ46="7",BH46,0)</f>
        <v>0</v>
      </c>
      <c r="AE46" s="47">
        <f>IF(AQ46="7",BI46,0)</f>
        <v>0</v>
      </c>
      <c r="AF46" s="47">
        <f>IF(AQ46="2",BH46,0)</f>
        <v>0</v>
      </c>
      <c r="AG46" s="47">
        <f>IF(AQ46="2",BI46,0)</f>
        <v>0</v>
      </c>
      <c r="AH46" s="47">
        <f>IF(AQ46="0",BJ46,0)</f>
        <v>0</v>
      </c>
      <c r="AI46" s="37"/>
      <c r="AJ46" s="26">
        <f>IF(AN46=0,J46,0)</f>
        <v>0</v>
      </c>
      <c r="AK46" s="26">
        <f>IF(AN46=15,J46,0)</f>
        <v>0</v>
      </c>
      <c r="AL46" s="26">
        <f>IF(AN46=21,J46,0)</f>
        <v>0</v>
      </c>
      <c r="AN46" s="47">
        <v>21</v>
      </c>
      <c r="AO46" s="47">
        <f>G46*0</f>
        <v>0</v>
      </c>
      <c r="AP46" s="47">
        <f>G46*(1-0)</f>
        <v>0</v>
      </c>
      <c r="AQ46" s="48" t="s">
        <v>13</v>
      </c>
      <c r="AV46" s="47">
        <f>AW46+AX46</f>
        <v>0</v>
      </c>
      <c r="AW46" s="47">
        <f>F46*AO46</f>
        <v>0</v>
      </c>
      <c r="AX46" s="47">
        <f>F46*AP46</f>
        <v>0</v>
      </c>
      <c r="AY46" s="50" t="s">
        <v>546</v>
      </c>
      <c r="AZ46" s="50" t="s">
        <v>565</v>
      </c>
      <c r="BA46" s="37" t="s">
        <v>571</v>
      </c>
      <c r="BC46" s="47">
        <f>AW46+AX46</f>
        <v>0</v>
      </c>
      <c r="BD46" s="47">
        <f>G46/(100-BE46)*100</f>
        <v>0</v>
      </c>
      <c r="BE46" s="47">
        <v>0</v>
      </c>
      <c r="BF46" s="47">
        <f>L46</f>
        <v>0</v>
      </c>
      <c r="BH46" s="26">
        <f>F46*AO46</f>
        <v>0</v>
      </c>
      <c r="BI46" s="26">
        <f>F46*AP46</f>
        <v>0</v>
      </c>
      <c r="BJ46" s="26">
        <f>F46*G46</f>
        <v>0</v>
      </c>
      <c r="BK46" s="26" t="s">
        <v>576</v>
      </c>
      <c r="BL46" s="47">
        <v>721</v>
      </c>
    </row>
    <row r="47" spans="1:14" ht="12.75">
      <c r="A47" s="5"/>
      <c r="C47" s="18" t="s">
        <v>11</v>
      </c>
      <c r="D47" s="20" t="s">
        <v>448</v>
      </c>
      <c r="F47" s="27">
        <v>5</v>
      </c>
      <c r="M47" s="42"/>
      <c r="N47" s="5"/>
    </row>
    <row r="48" spans="1:64" ht="12.75">
      <c r="A48" s="4" t="s">
        <v>22</v>
      </c>
      <c r="B48" s="14" t="s">
        <v>139</v>
      </c>
      <c r="C48" s="244" t="s">
        <v>281</v>
      </c>
      <c r="D48" s="245"/>
      <c r="E48" s="14" t="s">
        <v>506</v>
      </c>
      <c r="F48" s="26">
        <v>3</v>
      </c>
      <c r="G48" s="155">
        <v>0</v>
      </c>
      <c r="H48" s="26">
        <f>F48*AO48</f>
        <v>0</v>
      </c>
      <c r="I48" s="26">
        <f>F48*AP48</f>
        <v>0</v>
      </c>
      <c r="J48" s="26">
        <f>F48*G48</f>
        <v>0</v>
      </c>
      <c r="K48" s="26">
        <v>0.0005</v>
      </c>
      <c r="L48" s="26">
        <f>F48*K48</f>
        <v>0.0015</v>
      </c>
      <c r="M48" s="41" t="s">
        <v>683</v>
      </c>
      <c r="N48" s="5"/>
      <c r="Z48" s="47">
        <f>IF(AQ48="5",BJ48,0)</f>
        <v>0</v>
      </c>
      <c r="AB48" s="47">
        <f>IF(AQ48="1",BH48,0)</f>
        <v>0</v>
      </c>
      <c r="AC48" s="47">
        <f>IF(AQ48="1",BI48,0)</f>
        <v>0</v>
      </c>
      <c r="AD48" s="47">
        <f>IF(AQ48="7",BH48,0)</f>
        <v>0</v>
      </c>
      <c r="AE48" s="47">
        <f>IF(AQ48="7",BI48,0)</f>
        <v>0</v>
      </c>
      <c r="AF48" s="47">
        <f>IF(AQ48="2",BH48,0)</f>
        <v>0</v>
      </c>
      <c r="AG48" s="47">
        <f>IF(AQ48="2",BI48,0)</f>
        <v>0</v>
      </c>
      <c r="AH48" s="47">
        <f>IF(AQ48="0",BJ48,0)</f>
        <v>0</v>
      </c>
      <c r="AI48" s="37"/>
      <c r="AJ48" s="26">
        <f>IF(AN48=0,J48,0)</f>
        <v>0</v>
      </c>
      <c r="AK48" s="26">
        <f>IF(AN48=15,J48,0)</f>
        <v>0</v>
      </c>
      <c r="AL48" s="26">
        <f>IF(AN48=21,J48,0)</f>
        <v>0</v>
      </c>
      <c r="AN48" s="47">
        <v>21</v>
      </c>
      <c r="AO48" s="47">
        <f>G48*0.935479245283019</f>
        <v>0</v>
      </c>
      <c r="AP48" s="47">
        <f>G48*(1-0.935479245283019)</f>
        <v>0</v>
      </c>
      <c r="AQ48" s="48" t="s">
        <v>13</v>
      </c>
      <c r="AV48" s="47">
        <f>AW48+AX48</f>
        <v>0</v>
      </c>
      <c r="AW48" s="47">
        <f>F48*AO48</f>
        <v>0</v>
      </c>
      <c r="AX48" s="47">
        <f>F48*AP48</f>
        <v>0</v>
      </c>
      <c r="AY48" s="50" t="s">
        <v>546</v>
      </c>
      <c r="AZ48" s="50" t="s">
        <v>565</v>
      </c>
      <c r="BA48" s="37" t="s">
        <v>571</v>
      </c>
      <c r="BC48" s="47">
        <f>AW48+AX48</f>
        <v>0</v>
      </c>
      <c r="BD48" s="47">
        <f>G48/(100-BE48)*100</f>
        <v>0</v>
      </c>
      <c r="BE48" s="47">
        <v>0</v>
      </c>
      <c r="BF48" s="47">
        <f>L48</f>
        <v>0.0015</v>
      </c>
      <c r="BH48" s="26">
        <f>F48*AO48</f>
        <v>0</v>
      </c>
      <c r="BI48" s="26">
        <f>F48*AP48</f>
        <v>0</v>
      </c>
      <c r="BJ48" s="26">
        <f>F48*G48</f>
        <v>0</v>
      </c>
      <c r="BK48" s="26" t="s">
        <v>576</v>
      </c>
      <c r="BL48" s="47">
        <v>721</v>
      </c>
    </row>
    <row r="49" spans="1:14" ht="12.75">
      <c r="A49" s="5"/>
      <c r="C49" s="18" t="s">
        <v>9</v>
      </c>
      <c r="D49" s="20" t="s">
        <v>449</v>
      </c>
      <c r="F49" s="27">
        <v>3</v>
      </c>
      <c r="M49" s="42"/>
      <c r="N49" s="5"/>
    </row>
    <row r="50" spans="1:64" ht="12.75">
      <c r="A50" s="4" t="s">
        <v>23</v>
      </c>
      <c r="B50" s="14" t="s">
        <v>140</v>
      </c>
      <c r="C50" s="244" t="s">
        <v>282</v>
      </c>
      <c r="D50" s="245"/>
      <c r="E50" s="14" t="s">
        <v>506</v>
      </c>
      <c r="F50" s="26">
        <v>4</v>
      </c>
      <c r="G50" s="155">
        <v>0</v>
      </c>
      <c r="H50" s="26">
        <f>F50*AO50</f>
        <v>0</v>
      </c>
      <c r="I50" s="26">
        <f>F50*AP50</f>
        <v>0</v>
      </c>
      <c r="J50" s="26">
        <f>F50*G50</f>
        <v>0</v>
      </c>
      <c r="K50" s="26">
        <v>0</v>
      </c>
      <c r="L50" s="26">
        <f>F50*K50</f>
        <v>0</v>
      </c>
      <c r="M50" s="41" t="s">
        <v>683</v>
      </c>
      <c r="N50" s="5"/>
      <c r="Z50" s="47">
        <f>IF(AQ50="5",BJ50,0)</f>
        <v>0</v>
      </c>
      <c r="AB50" s="47">
        <f>IF(AQ50="1",BH50,0)</f>
        <v>0</v>
      </c>
      <c r="AC50" s="47">
        <f>IF(AQ50="1",BI50,0)</f>
        <v>0</v>
      </c>
      <c r="AD50" s="47">
        <f>IF(AQ50="7",BH50,0)</f>
        <v>0</v>
      </c>
      <c r="AE50" s="47">
        <f>IF(AQ50="7",BI50,0)</f>
        <v>0</v>
      </c>
      <c r="AF50" s="47">
        <f>IF(AQ50="2",BH50,0)</f>
        <v>0</v>
      </c>
      <c r="AG50" s="47">
        <f>IF(AQ50="2",BI50,0)</f>
        <v>0</v>
      </c>
      <c r="AH50" s="47">
        <f>IF(AQ50="0",BJ50,0)</f>
        <v>0</v>
      </c>
      <c r="AI50" s="37"/>
      <c r="AJ50" s="26">
        <f>IF(AN50=0,J50,0)</f>
        <v>0</v>
      </c>
      <c r="AK50" s="26">
        <f>IF(AN50=15,J50,0)</f>
        <v>0</v>
      </c>
      <c r="AL50" s="26">
        <f>IF(AN50=21,J50,0)</f>
        <v>0</v>
      </c>
      <c r="AN50" s="47">
        <v>21</v>
      </c>
      <c r="AO50" s="47">
        <f>G50*0</f>
        <v>0</v>
      </c>
      <c r="AP50" s="47">
        <f>G50*(1-0)</f>
        <v>0</v>
      </c>
      <c r="AQ50" s="48" t="s">
        <v>13</v>
      </c>
      <c r="AV50" s="47">
        <f>AW50+AX50</f>
        <v>0</v>
      </c>
      <c r="AW50" s="47">
        <f>F50*AO50</f>
        <v>0</v>
      </c>
      <c r="AX50" s="47">
        <f>F50*AP50</f>
        <v>0</v>
      </c>
      <c r="AY50" s="50" t="s">
        <v>546</v>
      </c>
      <c r="AZ50" s="50" t="s">
        <v>565</v>
      </c>
      <c r="BA50" s="37" t="s">
        <v>571</v>
      </c>
      <c r="BC50" s="47">
        <f>AW50+AX50</f>
        <v>0</v>
      </c>
      <c r="BD50" s="47">
        <f>G50/(100-BE50)*100</f>
        <v>0</v>
      </c>
      <c r="BE50" s="47">
        <v>0</v>
      </c>
      <c r="BF50" s="47">
        <f>L50</f>
        <v>0</v>
      </c>
      <c r="BH50" s="26">
        <f>F50*AO50</f>
        <v>0</v>
      </c>
      <c r="BI50" s="26">
        <f>F50*AP50</f>
        <v>0</v>
      </c>
      <c r="BJ50" s="26">
        <f>F50*G50</f>
        <v>0</v>
      </c>
      <c r="BK50" s="26" t="s">
        <v>576</v>
      </c>
      <c r="BL50" s="47">
        <v>721</v>
      </c>
    </row>
    <row r="51" spans="1:14" ht="12.75">
      <c r="A51" s="5"/>
      <c r="C51" s="18" t="s">
        <v>10</v>
      </c>
      <c r="D51" s="20" t="s">
        <v>450</v>
      </c>
      <c r="F51" s="27">
        <v>4</v>
      </c>
      <c r="M51" s="42"/>
      <c r="N51" s="5"/>
    </row>
    <row r="52" spans="1:64" ht="12.75">
      <c r="A52" s="4" t="s">
        <v>24</v>
      </c>
      <c r="B52" s="14" t="s">
        <v>141</v>
      </c>
      <c r="C52" s="244" t="s">
        <v>283</v>
      </c>
      <c r="D52" s="245"/>
      <c r="E52" s="14" t="s">
        <v>508</v>
      </c>
      <c r="F52" s="26">
        <v>27</v>
      </c>
      <c r="G52" s="155">
        <v>0</v>
      </c>
      <c r="H52" s="26">
        <f>F52*AO52</f>
        <v>0</v>
      </c>
      <c r="I52" s="26">
        <f>F52*AP52</f>
        <v>0</v>
      </c>
      <c r="J52" s="26">
        <f>F52*G52</f>
        <v>0</v>
      </c>
      <c r="K52" s="26">
        <v>0</v>
      </c>
      <c r="L52" s="26">
        <f>F52*K52</f>
        <v>0</v>
      </c>
      <c r="M52" s="41" t="s">
        <v>683</v>
      </c>
      <c r="N52" s="5"/>
      <c r="Z52" s="47">
        <f>IF(AQ52="5",BJ52,0)</f>
        <v>0</v>
      </c>
      <c r="AB52" s="47">
        <f>IF(AQ52="1",BH52,0)</f>
        <v>0</v>
      </c>
      <c r="AC52" s="47">
        <f>IF(AQ52="1",BI52,0)</f>
        <v>0</v>
      </c>
      <c r="AD52" s="47">
        <f>IF(AQ52="7",BH52,0)</f>
        <v>0</v>
      </c>
      <c r="AE52" s="47">
        <f>IF(AQ52="7",BI52,0)</f>
        <v>0</v>
      </c>
      <c r="AF52" s="47">
        <f>IF(AQ52="2",BH52,0)</f>
        <v>0</v>
      </c>
      <c r="AG52" s="47">
        <f>IF(AQ52="2",BI52,0)</f>
        <v>0</v>
      </c>
      <c r="AH52" s="47">
        <f>IF(AQ52="0",BJ52,0)</f>
        <v>0</v>
      </c>
      <c r="AI52" s="37"/>
      <c r="AJ52" s="26">
        <f>IF(AN52=0,J52,0)</f>
        <v>0</v>
      </c>
      <c r="AK52" s="26">
        <f>IF(AN52=15,J52,0)</f>
        <v>0</v>
      </c>
      <c r="AL52" s="26">
        <f>IF(AN52=21,J52,0)</f>
        <v>0</v>
      </c>
      <c r="AN52" s="47">
        <v>21</v>
      </c>
      <c r="AO52" s="47">
        <f>G52*0.0268594307265547</f>
        <v>0</v>
      </c>
      <c r="AP52" s="47">
        <f>G52*(1-0.0268594307265547)</f>
        <v>0</v>
      </c>
      <c r="AQ52" s="48" t="s">
        <v>13</v>
      </c>
      <c r="AV52" s="47">
        <f>AW52+AX52</f>
        <v>0</v>
      </c>
      <c r="AW52" s="47">
        <f>F52*AO52</f>
        <v>0</v>
      </c>
      <c r="AX52" s="47">
        <f>F52*AP52</f>
        <v>0</v>
      </c>
      <c r="AY52" s="50" t="s">
        <v>546</v>
      </c>
      <c r="AZ52" s="50" t="s">
        <v>565</v>
      </c>
      <c r="BA52" s="37" t="s">
        <v>571</v>
      </c>
      <c r="BC52" s="47">
        <f>AW52+AX52</f>
        <v>0</v>
      </c>
      <c r="BD52" s="47">
        <f>G52/(100-BE52)*100</f>
        <v>0</v>
      </c>
      <c r="BE52" s="47">
        <v>0</v>
      </c>
      <c r="BF52" s="47">
        <f>L52</f>
        <v>0</v>
      </c>
      <c r="BH52" s="26">
        <f>F52*AO52</f>
        <v>0</v>
      </c>
      <c r="BI52" s="26">
        <f>F52*AP52</f>
        <v>0</v>
      </c>
      <c r="BJ52" s="26">
        <f>F52*G52</f>
        <v>0</v>
      </c>
      <c r="BK52" s="26" t="s">
        <v>576</v>
      </c>
      <c r="BL52" s="47">
        <v>721</v>
      </c>
    </row>
    <row r="53" spans="1:14" ht="12.75">
      <c r="A53" s="5"/>
      <c r="C53" s="18" t="s">
        <v>284</v>
      </c>
      <c r="D53" s="20" t="s">
        <v>441</v>
      </c>
      <c r="F53" s="27">
        <v>27</v>
      </c>
      <c r="M53" s="42"/>
      <c r="N53" s="5"/>
    </row>
    <row r="54" spans="1:64" ht="12.75">
      <c r="A54" s="4" t="s">
        <v>25</v>
      </c>
      <c r="B54" s="14" t="s">
        <v>142</v>
      </c>
      <c r="C54" s="244" t="s">
        <v>285</v>
      </c>
      <c r="D54" s="245"/>
      <c r="E54" s="14" t="s">
        <v>506</v>
      </c>
      <c r="F54" s="26">
        <v>4</v>
      </c>
      <c r="G54" s="155">
        <v>0</v>
      </c>
      <c r="H54" s="26">
        <f>F54*AO54</f>
        <v>0</v>
      </c>
      <c r="I54" s="26">
        <f>F54*AP54</f>
        <v>0</v>
      </c>
      <c r="J54" s="26">
        <f>F54*G54</f>
        <v>0</v>
      </c>
      <c r="K54" s="26">
        <v>0.00136</v>
      </c>
      <c r="L54" s="26">
        <f>F54*K54</f>
        <v>0.00544</v>
      </c>
      <c r="M54" s="41" t="s">
        <v>683</v>
      </c>
      <c r="N54" s="5"/>
      <c r="Z54" s="47">
        <f>IF(AQ54="5",BJ54,0)</f>
        <v>0</v>
      </c>
      <c r="AB54" s="47">
        <f>IF(AQ54="1",BH54,0)</f>
        <v>0</v>
      </c>
      <c r="AC54" s="47">
        <f>IF(AQ54="1",BI54,0)</f>
        <v>0</v>
      </c>
      <c r="AD54" s="47">
        <f>IF(AQ54="7",BH54,0)</f>
        <v>0</v>
      </c>
      <c r="AE54" s="47">
        <f>IF(AQ54="7",BI54,0)</f>
        <v>0</v>
      </c>
      <c r="AF54" s="47">
        <f>IF(AQ54="2",BH54,0)</f>
        <v>0</v>
      </c>
      <c r="AG54" s="47">
        <f>IF(AQ54="2",BI54,0)</f>
        <v>0</v>
      </c>
      <c r="AH54" s="47">
        <f>IF(AQ54="0",BJ54,0)</f>
        <v>0</v>
      </c>
      <c r="AI54" s="37"/>
      <c r="AJ54" s="26">
        <f>IF(AN54=0,J54,0)</f>
        <v>0</v>
      </c>
      <c r="AK54" s="26">
        <f>IF(AN54=15,J54,0)</f>
        <v>0</v>
      </c>
      <c r="AL54" s="26">
        <f>IF(AN54=21,J54,0)</f>
        <v>0</v>
      </c>
      <c r="AN54" s="47">
        <v>21</v>
      </c>
      <c r="AO54" s="47">
        <f>G54*0.0651072961373391</f>
        <v>0</v>
      </c>
      <c r="AP54" s="47">
        <f>G54*(1-0.0651072961373391)</f>
        <v>0</v>
      </c>
      <c r="AQ54" s="48" t="s">
        <v>13</v>
      </c>
      <c r="AV54" s="47">
        <f>AW54+AX54</f>
        <v>0</v>
      </c>
      <c r="AW54" s="47">
        <f>F54*AO54</f>
        <v>0</v>
      </c>
      <c r="AX54" s="47">
        <f>F54*AP54</f>
        <v>0</v>
      </c>
      <c r="AY54" s="50" t="s">
        <v>546</v>
      </c>
      <c r="AZ54" s="50" t="s">
        <v>565</v>
      </c>
      <c r="BA54" s="37" t="s">
        <v>571</v>
      </c>
      <c r="BC54" s="47">
        <f>AW54+AX54</f>
        <v>0</v>
      </c>
      <c r="BD54" s="47">
        <f>G54/(100-BE54)*100</f>
        <v>0</v>
      </c>
      <c r="BE54" s="47">
        <v>0</v>
      </c>
      <c r="BF54" s="47">
        <f>L54</f>
        <v>0.00544</v>
      </c>
      <c r="BH54" s="26">
        <f>F54*AO54</f>
        <v>0</v>
      </c>
      <c r="BI54" s="26">
        <f>F54*AP54</f>
        <v>0</v>
      </c>
      <c r="BJ54" s="26">
        <f>F54*G54</f>
        <v>0</v>
      </c>
      <c r="BK54" s="26" t="s">
        <v>576</v>
      </c>
      <c r="BL54" s="47">
        <v>721</v>
      </c>
    </row>
    <row r="55" spans="1:14" ht="12.75">
      <c r="A55" s="5"/>
      <c r="C55" s="18" t="s">
        <v>10</v>
      </c>
      <c r="D55" s="20" t="s">
        <v>451</v>
      </c>
      <c r="F55" s="27">
        <v>4</v>
      </c>
      <c r="M55" s="42"/>
      <c r="N55" s="5"/>
    </row>
    <row r="56" spans="1:64" ht="12.75">
      <c r="A56" s="4" t="s">
        <v>26</v>
      </c>
      <c r="B56" s="14" t="s">
        <v>143</v>
      </c>
      <c r="C56" s="244" t="s">
        <v>286</v>
      </c>
      <c r="D56" s="245"/>
      <c r="E56" s="14" t="s">
        <v>507</v>
      </c>
      <c r="F56" s="26">
        <v>0.03495</v>
      </c>
      <c r="G56" s="155">
        <v>0</v>
      </c>
      <c r="H56" s="26">
        <f>F56*AO56</f>
        <v>0</v>
      </c>
      <c r="I56" s="26">
        <f>F56*AP56</f>
        <v>0</v>
      </c>
      <c r="J56" s="26">
        <f>F56*G56</f>
        <v>0</v>
      </c>
      <c r="K56" s="26">
        <v>0</v>
      </c>
      <c r="L56" s="26">
        <f>F56*K56</f>
        <v>0</v>
      </c>
      <c r="M56" s="41" t="s">
        <v>683</v>
      </c>
      <c r="N56" s="5"/>
      <c r="Z56" s="47">
        <f>IF(AQ56="5",BJ56,0)</f>
        <v>0</v>
      </c>
      <c r="AB56" s="47">
        <f>IF(AQ56="1",BH56,0)</f>
        <v>0</v>
      </c>
      <c r="AC56" s="47">
        <f>IF(AQ56="1",BI56,0)</f>
        <v>0</v>
      </c>
      <c r="AD56" s="47">
        <f>IF(AQ56="7",BH56,0)</f>
        <v>0</v>
      </c>
      <c r="AE56" s="47">
        <f>IF(AQ56="7",BI56,0)</f>
        <v>0</v>
      </c>
      <c r="AF56" s="47">
        <f>IF(AQ56="2",BH56,0)</f>
        <v>0</v>
      </c>
      <c r="AG56" s="47">
        <f>IF(AQ56="2",BI56,0)</f>
        <v>0</v>
      </c>
      <c r="AH56" s="47">
        <f>IF(AQ56="0",BJ56,0)</f>
        <v>0</v>
      </c>
      <c r="AI56" s="37"/>
      <c r="AJ56" s="26">
        <f>IF(AN56=0,J56,0)</f>
        <v>0</v>
      </c>
      <c r="AK56" s="26">
        <f>IF(AN56=15,J56,0)</f>
        <v>0</v>
      </c>
      <c r="AL56" s="26">
        <f>IF(AN56=21,J56,0)</f>
        <v>0</v>
      </c>
      <c r="AN56" s="47">
        <v>21</v>
      </c>
      <c r="AO56" s="47">
        <f>G56*0</f>
        <v>0</v>
      </c>
      <c r="AP56" s="47">
        <f>G56*(1-0)</f>
        <v>0</v>
      </c>
      <c r="AQ56" s="48" t="s">
        <v>11</v>
      </c>
      <c r="AV56" s="47">
        <f>AW56+AX56</f>
        <v>0</v>
      </c>
      <c r="AW56" s="47">
        <f>F56*AO56</f>
        <v>0</v>
      </c>
      <c r="AX56" s="47">
        <f>F56*AP56</f>
        <v>0</v>
      </c>
      <c r="AY56" s="50" t="s">
        <v>546</v>
      </c>
      <c r="AZ56" s="50" t="s">
        <v>565</v>
      </c>
      <c r="BA56" s="37" t="s">
        <v>571</v>
      </c>
      <c r="BC56" s="47">
        <f>AW56+AX56</f>
        <v>0</v>
      </c>
      <c r="BD56" s="47">
        <f>G56/(100-BE56)*100</f>
        <v>0</v>
      </c>
      <c r="BE56" s="47">
        <v>0</v>
      </c>
      <c r="BF56" s="47">
        <f>L56</f>
        <v>0</v>
      </c>
      <c r="BH56" s="26">
        <f>F56*AO56</f>
        <v>0</v>
      </c>
      <c r="BI56" s="26">
        <f>F56*AP56</f>
        <v>0</v>
      </c>
      <c r="BJ56" s="26">
        <f>F56*G56</f>
        <v>0</v>
      </c>
      <c r="BK56" s="26" t="s">
        <v>576</v>
      </c>
      <c r="BL56" s="47">
        <v>721</v>
      </c>
    </row>
    <row r="57" spans="1:47" ht="12.75">
      <c r="A57" s="6"/>
      <c r="B57" s="15" t="s">
        <v>144</v>
      </c>
      <c r="C57" s="249" t="s">
        <v>287</v>
      </c>
      <c r="D57" s="250"/>
      <c r="E57" s="24" t="s">
        <v>6</v>
      </c>
      <c r="F57" s="24" t="s">
        <v>6</v>
      </c>
      <c r="G57" s="24" t="s">
        <v>6</v>
      </c>
      <c r="H57" s="53">
        <f>SUM(H58:H129)</f>
        <v>0</v>
      </c>
      <c r="I57" s="53">
        <f>SUM(I58:I129)</f>
        <v>0</v>
      </c>
      <c r="J57" s="53">
        <f>SUM(J58:J129)</f>
        <v>0</v>
      </c>
      <c r="K57" s="37"/>
      <c r="L57" s="53">
        <f>SUM(L58:L129)</f>
        <v>1.175644</v>
      </c>
      <c r="M57" s="43"/>
      <c r="N57" s="5"/>
      <c r="AI57" s="37"/>
      <c r="AS57" s="53">
        <f>SUM(AJ58:AJ129)</f>
        <v>0</v>
      </c>
      <c r="AT57" s="53">
        <f>SUM(AK58:AK129)</f>
        <v>0</v>
      </c>
      <c r="AU57" s="53">
        <f>SUM(AL58:AL129)</f>
        <v>0</v>
      </c>
    </row>
    <row r="58" spans="1:64" ht="12.75">
      <c r="A58" s="4" t="s">
        <v>27</v>
      </c>
      <c r="B58" s="14" t="s">
        <v>145</v>
      </c>
      <c r="C58" s="244" t="s">
        <v>288</v>
      </c>
      <c r="D58" s="245"/>
      <c r="E58" s="14" t="s">
        <v>508</v>
      </c>
      <c r="F58" s="26">
        <v>33</v>
      </c>
      <c r="G58" s="155">
        <v>0</v>
      </c>
      <c r="H58" s="26">
        <f>F58*AO58</f>
        <v>0</v>
      </c>
      <c r="I58" s="26">
        <f>F58*AP58</f>
        <v>0</v>
      </c>
      <c r="J58" s="26">
        <f>F58*G58</f>
        <v>0</v>
      </c>
      <c r="K58" s="26">
        <v>0.00401</v>
      </c>
      <c r="L58" s="26">
        <f>F58*K58</f>
        <v>0.13233</v>
      </c>
      <c r="M58" s="41" t="s">
        <v>683</v>
      </c>
      <c r="N58" s="5"/>
      <c r="Z58" s="47">
        <f>IF(AQ58="5",BJ58,0)</f>
        <v>0</v>
      </c>
      <c r="AB58" s="47">
        <f>IF(AQ58="1",BH58,0)</f>
        <v>0</v>
      </c>
      <c r="AC58" s="47">
        <f>IF(AQ58="1",BI58,0)</f>
        <v>0</v>
      </c>
      <c r="AD58" s="47">
        <f>IF(AQ58="7",BH58,0)</f>
        <v>0</v>
      </c>
      <c r="AE58" s="47">
        <f>IF(AQ58="7",BI58,0)</f>
        <v>0</v>
      </c>
      <c r="AF58" s="47">
        <f>IF(AQ58="2",BH58,0)</f>
        <v>0</v>
      </c>
      <c r="AG58" s="47">
        <f>IF(AQ58="2",BI58,0)</f>
        <v>0</v>
      </c>
      <c r="AH58" s="47">
        <f>IF(AQ58="0",BJ58,0)</f>
        <v>0</v>
      </c>
      <c r="AI58" s="37"/>
      <c r="AJ58" s="26">
        <f>IF(AN58=0,J58,0)</f>
        <v>0</v>
      </c>
      <c r="AK58" s="26">
        <f>IF(AN58=15,J58,0)</f>
        <v>0</v>
      </c>
      <c r="AL58" s="26">
        <f>IF(AN58=21,J58,0)</f>
        <v>0</v>
      </c>
      <c r="AN58" s="47">
        <v>21</v>
      </c>
      <c r="AO58" s="47">
        <f>G58*0.229391998759368</f>
        <v>0</v>
      </c>
      <c r="AP58" s="47">
        <f>G58*(1-0.229391998759368)</f>
        <v>0</v>
      </c>
      <c r="AQ58" s="48" t="s">
        <v>13</v>
      </c>
      <c r="AV58" s="47">
        <f>AW58+AX58</f>
        <v>0</v>
      </c>
      <c r="AW58" s="47">
        <f>F58*AO58</f>
        <v>0</v>
      </c>
      <c r="AX58" s="47">
        <f>F58*AP58</f>
        <v>0</v>
      </c>
      <c r="AY58" s="50" t="s">
        <v>547</v>
      </c>
      <c r="AZ58" s="50" t="s">
        <v>565</v>
      </c>
      <c r="BA58" s="37" t="s">
        <v>571</v>
      </c>
      <c r="BC58" s="47">
        <f>AW58+AX58</f>
        <v>0</v>
      </c>
      <c r="BD58" s="47">
        <f>G58/(100-BE58)*100</f>
        <v>0</v>
      </c>
      <c r="BE58" s="47">
        <v>0</v>
      </c>
      <c r="BF58" s="47">
        <f>L58</f>
        <v>0.13233</v>
      </c>
      <c r="BH58" s="26">
        <f>F58*AO58</f>
        <v>0</v>
      </c>
      <c r="BI58" s="26">
        <f>F58*AP58</f>
        <v>0</v>
      </c>
      <c r="BJ58" s="26">
        <f>F58*G58</f>
        <v>0</v>
      </c>
      <c r="BK58" s="26" t="s">
        <v>576</v>
      </c>
      <c r="BL58" s="47">
        <v>722</v>
      </c>
    </row>
    <row r="59" spans="1:14" ht="12.75">
      <c r="A59" s="5"/>
      <c r="C59" s="18" t="s">
        <v>289</v>
      </c>
      <c r="D59" s="20" t="s">
        <v>440</v>
      </c>
      <c r="F59" s="27">
        <v>33</v>
      </c>
      <c r="M59" s="42"/>
      <c r="N59" s="5"/>
    </row>
    <row r="60" spans="1:64" ht="12.75">
      <c r="A60" s="4" t="s">
        <v>28</v>
      </c>
      <c r="B60" s="14" t="s">
        <v>146</v>
      </c>
      <c r="C60" s="244" t="s">
        <v>290</v>
      </c>
      <c r="D60" s="245"/>
      <c r="E60" s="14" t="s">
        <v>506</v>
      </c>
      <c r="F60" s="26">
        <v>2</v>
      </c>
      <c r="G60" s="155">
        <v>0</v>
      </c>
      <c r="H60" s="26">
        <f>F60*AO60</f>
        <v>0</v>
      </c>
      <c r="I60" s="26">
        <f>F60*AP60</f>
        <v>0</v>
      </c>
      <c r="J60" s="26">
        <f>F60*G60</f>
        <v>0</v>
      </c>
      <c r="K60" s="26">
        <v>0</v>
      </c>
      <c r="L60" s="26">
        <f>F60*K60</f>
        <v>0</v>
      </c>
      <c r="M60" s="41" t="s">
        <v>683</v>
      </c>
      <c r="N60" s="5"/>
      <c r="Z60" s="47">
        <f>IF(AQ60="5",BJ60,0)</f>
        <v>0</v>
      </c>
      <c r="AB60" s="47">
        <f>IF(AQ60="1",BH60,0)</f>
        <v>0</v>
      </c>
      <c r="AC60" s="47">
        <f>IF(AQ60="1",BI60,0)</f>
        <v>0</v>
      </c>
      <c r="AD60" s="47">
        <f>IF(AQ60="7",BH60,0)</f>
        <v>0</v>
      </c>
      <c r="AE60" s="47">
        <f>IF(AQ60="7",BI60,0)</f>
        <v>0</v>
      </c>
      <c r="AF60" s="47">
        <f>IF(AQ60="2",BH60,0)</f>
        <v>0</v>
      </c>
      <c r="AG60" s="47">
        <f>IF(AQ60="2",BI60,0)</f>
        <v>0</v>
      </c>
      <c r="AH60" s="47">
        <f>IF(AQ60="0",BJ60,0)</f>
        <v>0</v>
      </c>
      <c r="AI60" s="37"/>
      <c r="AJ60" s="26">
        <f>IF(AN60=0,J60,0)</f>
        <v>0</v>
      </c>
      <c r="AK60" s="26">
        <f>IF(AN60=15,J60,0)</f>
        <v>0</v>
      </c>
      <c r="AL60" s="26">
        <f>IF(AN60=21,J60,0)</f>
        <v>0</v>
      </c>
      <c r="AN60" s="47">
        <v>21</v>
      </c>
      <c r="AO60" s="47">
        <f>G60*0</f>
        <v>0</v>
      </c>
      <c r="AP60" s="47">
        <f>G60*(1-0)</f>
        <v>0</v>
      </c>
      <c r="AQ60" s="48" t="s">
        <v>13</v>
      </c>
      <c r="AV60" s="47">
        <f>AW60+AX60</f>
        <v>0</v>
      </c>
      <c r="AW60" s="47">
        <f>F60*AO60</f>
        <v>0</v>
      </c>
      <c r="AX60" s="47">
        <f>F60*AP60</f>
        <v>0</v>
      </c>
      <c r="AY60" s="50" t="s">
        <v>547</v>
      </c>
      <c r="AZ60" s="50" t="s">
        <v>565</v>
      </c>
      <c r="BA60" s="37" t="s">
        <v>571</v>
      </c>
      <c r="BC60" s="47">
        <f>AW60+AX60</f>
        <v>0</v>
      </c>
      <c r="BD60" s="47">
        <f>G60/(100-BE60)*100</f>
        <v>0</v>
      </c>
      <c r="BE60" s="47">
        <v>0</v>
      </c>
      <c r="BF60" s="47">
        <f>L60</f>
        <v>0</v>
      </c>
      <c r="BH60" s="26">
        <f>F60*AO60</f>
        <v>0</v>
      </c>
      <c r="BI60" s="26">
        <f>F60*AP60</f>
        <v>0</v>
      </c>
      <c r="BJ60" s="26">
        <f>F60*G60</f>
        <v>0</v>
      </c>
      <c r="BK60" s="26" t="s">
        <v>576</v>
      </c>
      <c r="BL60" s="47">
        <v>722</v>
      </c>
    </row>
    <row r="61" spans="1:14" ht="12.75">
      <c r="A61" s="5"/>
      <c r="C61" s="18" t="s">
        <v>8</v>
      </c>
      <c r="D61" s="20" t="s">
        <v>452</v>
      </c>
      <c r="F61" s="27">
        <v>2</v>
      </c>
      <c r="M61" s="42"/>
      <c r="N61" s="5"/>
    </row>
    <row r="62" spans="1:64" ht="12.75">
      <c r="A62" s="4" t="s">
        <v>29</v>
      </c>
      <c r="B62" s="14" t="s">
        <v>147</v>
      </c>
      <c r="C62" s="244" t="s">
        <v>291</v>
      </c>
      <c r="D62" s="245"/>
      <c r="E62" s="14" t="s">
        <v>508</v>
      </c>
      <c r="F62" s="26">
        <v>18</v>
      </c>
      <c r="G62" s="155">
        <v>0</v>
      </c>
      <c r="H62" s="26">
        <f>F62*AO62</f>
        <v>0</v>
      </c>
      <c r="I62" s="26">
        <f>F62*AP62</f>
        <v>0</v>
      </c>
      <c r="J62" s="26">
        <f>F62*G62</f>
        <v>0</v>
      </c>
      <c r="K62" s="26">
        <v>1E-05</v>
      </c>
      <c r="L62" s="26">
        <f>F62*K62</f>
        <v>0.00018</v>
      </c>
      <c r="M62" s="41" t="s">
        <v>683</v>
      </c>
      <c r="N62" s="5"/>
      <c r="Z62" s="47">
        <f>IF(AQ62="5",BJ62,0)</f>
        <v>0</v>
      </c>
      <c r="AB62" s="47">
        <f>IF(AQ62="1",BH62,0)</f>
        <v>0</v>
      </c>
      <c r="AC62" s="47">
        <f>IF(AQ62="1",BI62,0)</f>
        <v>0</v>
      </c>
      <c r="AD62" s="47">
        <f>IF(AQ62="7",BH62,0)</f>
        <v>0</v>
      </c>
      <c r="AE62" s="47">
        <f>IF(AQ62="7",BI62,0)</f>
        <v>0</v>
      </c>
      <c r="AF62" s="47">
        <f>IF(AQ62="2",BH62,0)</f>
        <v>0</v>
      </c>
      <c r="AG62" s="47">
        <f>IF(AQ62="2",BI62,0)</f>
        <v>0</v>
      </c>
      <c r="AH62" s="47">
        <f>IF(AQ62="0",BJ62,0)</f>
        <v>0</v>
      </c>
      <c r="AI62" s="37"/>
      <c r="AJ62" s="26">
        <f>IF(AN62=0,J62,0)</f>
        <v>0</v>
      </c>
      <c r="AK62" s="26">
        <f>IF(AN62=15,J62,0)</f>
        <v>0</v>
      </c>
      <c r="AL62" s="26">
        <f>IF(AN62=21,J62,0)</f>
        <v>0</v>
      </c>
      <c r="AN62" s="47">
        <v>21</v>
      </c>
      <c r="AO62" s="47">
        <f>G62*0.194007476783662</f>
        <v>0</v>
      </c>
      <c r="AP62" s="47">
        <f>G62*(1-0.194007476783662)</f>
        <v>0</v>
      </c>
      <c r="AQ62" s="48" t="s">
        <v>13</v>
      </c>
      <c r="AV62" s="47">
        <f>AW62+AX62</f>
        <v>0</v>
      </c>
      <c r="AW62" s="47">
        <f>F62*AO62</f>
        <v>0</v>
      </c>
      <c r="AX62" s="47">
        <f>F62*AP62</f>
        <v>0</v>
      </c>
      <c r="AY62" s="50" t="s">
        <v>547</v>
      </c>
      <c r="AZ62" s="50" t="s">
        <v>565</v>
      </c>
      <c r="BA62" s="37" t="s">
        <v>571</v>
      </c>
      <c r="BC62" s="47">
        <f>AW62+AX62</f>
        <v>0</v>
      </c>
      <c r="BD62" s="47">
        <f>G62/(100-BE62)*100</f>
        <v>0</v>
      </c>
      <c r="BE62" s="47">
        <v>0</v>
      </c>
      <c r="BF62" s="47">
        <f>L62</f>
        <v>0.00018</v>
      </c>
      <c r="BH62" s="26">
        <f>F62*AO62</f>
        <v>0</v>
      </c>
      <c r="BI62" s="26">
        <f>F62*AP62</f>
        <v>0</v>
      </c>
      <c r="BJ62" s="26">
        <f>F62*G62</f>
        <v>0</v>
      </c>
      <c r="BK62" s="26" t="s">
        <v>576</v>
      </c>
      <c r="BL62" s="47">
        <v>722</v>
      </c>
    </row>
    <row r="63" spans="1:14" ht="12.75">
      <c r="A63" s="5"/>
      <c r="C63" s="18" t="s">
        <v>292</v>
      </c>
      <c r="D63" s="20" t="s">
        <v>453</v>
      </c>
      <c r="F63" s="27">
        <v>18</v>
      </c>
      <c r="M63" s="42"/>
      <c r="N63" s="5"/>
    </row>
    <row r="64" spans="1:64" ht="12.75">
      <c r="A64" s="4" t="s">
        <v>30</v>
      </c>
      <c r="B64" s="14" t="s">
        <v>148</v>
      </c>
      <c r="C64" s="244" t="s">
        <v>293</v>
      </c>
      <c r="D64" s="245"/>
      <c r="E64" s="14" t="s">
        <v>508</v>
      </c>
      <c r="F64" s="26">
        <v>15</v>
      </c>
      <c r="G64" s="155">
        <v>0</v>
      </c>
      <c r="H64" s="26">
        <f>F64*AO64</f>
        <v>0</v>
      </c>
      <c r="I64" s="26">
        <f>F64*AP64</f>
        <v>0</v>
      </c>
      <c r="J64" s="26">
        <f>F64*G64</f>
        <v>0</v>
      </c>
      <c r="K64" s="26">
        <v>4E-05</v>
      </c>
      <c r="L64" s="26">
        <f>F64*K64</f>
        <v>0.0006000000000000001</v>
      </c>
      <c r="M64" s="41" t="s">
        <v>683</v>
      </c>
      <c r="N64" s="5"/>
      <c r="Z64" s="47">
        <f>IF(AQ64="5",BJ64,0)</f>
        <v>0</v>
      </c>
      <c r="AB64" s="47">
        <f>IF(AQ64="1",BH64,0)</f>
        <v>0</v>
      </c>
      <c r="AC64" s="47">
        <f>IF(AQ64="1",BI64,0)</f>
        <v>0</v>
      </c>
      <c r="AD64" s="47">
        <f>IF(AQ64="7",BH64,0)</f>
        <v>0</v>
      </c>
      <c r="AE64" s="47">
        <f>IF(AQ64="7",BI64,0)</f>
        <v>0</v>
      </c>
      <c r="AF64" s="47">
        <f>IF(AQ64="2",BH64,0)</f>
        <v>0</v>
      </c>
      <c r="AG64" s="47">
        <f>IF(AQ64="2",BI64,0)</f>
        <v>0</v>
      </c>
      <c r="AH64" s="47">
        <f>IF(AQ64="0",BJ64,0)</f>
        <v>0</v>
      </c>
      <c r="AI64" s="37"/>
      <c r="AJ64" s="26">
        <f>IF(AN64=0,J64,0)</f>
        <v>0</v>
      </c>
      <c r="AK64" s="26">
        <f>IF(AN64=15,J64,0)</f>
        <v>0</v>
      </c>
      <c r="AL64" s="26">
        <f>IF(AN64=21,J64,0)</f>
        <v>0</v>
      </c>
      <c r="AN64" s="47">
        <v>21</v>
      </c>
      <c r="AO64" s="47">
        <f>G64*0.484595744680851</f>
        <v>0</v>
      </c>
      <c r="AP64" s="47">
        <f>G64*(1-0.484595744680851)</f>
        <v>0</v>
      </c>
      <c r="AQ64" s="48" t="s">
        <v>13</v>
      </c>
      <c r="AV64" s="47">
        <f>AW64+AX64</f>
        <v>0</v>
      </c>
      <c r="AW64" s="47">
        <f>F64*AO64</f>
        <v>0</v>
      </c>
      <c r="AX64" s="47">
        <f>F64*AP64</f>
        <v>0</v>
      </c>
      <c r="AY64" s="50" t="s">
        <v>547</v>
      </c>
      <c r="AZ64" s="50" t="s">
        <v>565</v>
      </c>
      <c r="BA64" s="37" t="s">
        <v>571</v>
      </c>
      <c r="BC64" s="47">
        <f>AW64+AX64</f>
        <v>0</v>
      </c>
      <c r="BD64" s="47">
        <f>G64/(100-BE64)*100</f>
        <v>0</v>
      </c>
      <c r="BE64" s="47">
        <v>0</v>
      </c>
      <c r="BF64" s="47">
        <f>L64</f>
        <v>0.0006000000000000001</v>
      </c>
      <c r="BH64" s="26">
        <f>F64*AO64</f>
        <v>0</v>
      </c>
      <c r="BI64" s="26">
        <f>F64*AP64</f>
        <v>0</v>
      </c>
      <c r="BJ64" s="26">
        <f>F64*G64</f>
        <v>0</v>
      </c>
      <c r="BK64" s="26" t="s">
        <v>576</v>
      </c>
      <c r="BL64" s="47">
        <v>722</v>
      </c>
    </row>
    <row r="65" spans="1:14" ht="12.75">
      <c r="A65" s="5"/>
      <c r="C65" s="18" t="s">
        <v>294</v>
      </c>
      <c r="D65" s="20" t="s">
        <v>454</v>
      </c>
      <c r="F65" s="27">
        <v>15</v>
      </c>
      <c r="M65" s="42"/>
      <c r="N65" s="5"/>
    </row>
    <row r="66" spans="1:64" ht="12.75">
      <c r="A66" s="4" t="s">
        <v>31</v>
      </c>
      <c r="B66" s="14" t="s">
        <v>149</v>
      </c>
      <c r="C66" s="244" t="s">
        <v>295</v>
      </c>
      <c r="D66" s="245"/>
      <c r="E66" s="14" t="s">
        <v>506</v>
      </c>
      <c r="F66" s="26">
        <v>16</v>
      </c>
      <c r="G66" s="155">
        <v>0</v>
      </c>
      <c r="H66" s="26">
        <f>F66*AO66</f>
        <v>0</v>
      </c>
      <c r="I66" s="26">
        <f>F66*AP66</f>
        <v>0</v>
      </c>
      <c r="J66" s="26">
        <f>F66*G66</f>
        <v>0</v>
      </c>
      <c r="K66" s="26">
        <v>0</v>
      </c>
      <c r="L66" s="26">
        <f>F66*K66</f>
        <v>0</v>
      </c>
      <c r="M66" s="41" t="s">
        <v>683</v>
      </c>
      <c r="N66" s="5"/>
      <c r="Z66" s="47">
        <f>IF(AQ66="5",BJ66,0)</f>
        <v>0</v>
      </c>
      <c r="AB66" s="47">
        <f>IF(AQ66="1",BH66,0)</f>
        <v>0</v>
      </c>
      <c r="AC66" s="47">
        <f>IF(AQ66="1",BI66,0)</f>
        <v>0</v>
      </c>
      <c r="AD66" s="47">
        <f>IF(AQ66="7",BH66,0)</f>
        <v>0</v>
      </c>
      <c r="AE66" s="47">
        <f>IF(AQ66="7",BI66,0)</f>
        <v>0</v>
      </c>
      <c r="AF66" s="47">
        <f>IF(AQ66="2",BH66,0)</f>
        <v>0</v>
      </c>
      <c r="AG66" s="47">
        <f>IF(AQ66="2",BI66,0)</f>
        <v>0</v>
      </c>
      <c r="AH66" s="47">
        <f>IF(AQ66="0",BJ66,0)</f>
        <v>0</v>
      </c>
      <c r="AI66" s="37"/>
      <c r="AJ66" s="26">
        <f>IF(AN66=0,J66,0)</f>
        <v>0</v>
      </c>
      <c r="AK66" s="26">
        <f>IF(AN66=15,J66,0)</f>
        <v>0</v>
      </c>
      <c r="AL66" s="26">
        <f>IF(AN66=21,J66,0)</f>
        <v>0</v>
      </c>
      <c r="AN66" s="47">
        <v>21</v>
      </c>
      <c r="AO66" s="47">
        <f>G66*0</f>
        <v>0</v>
      </c>
      <c r="AP66" s="47">
        <f>G66*(1-0)</f>
        <v>0</v>
      </c>
      <c r="AQ66" s="48" t="s">
        <v>13</v>
      </c>
      <c r="AV66" s="47">
        <f>AW66+AX66</f>
        <v>0</v>
      </c>
      <c r="AW66" s="47">
        <f>F66*AO66</f>
        <v>0</v>
      </c>
      <c r="AX66" s="47">
        <f>F66*AP66</f>
        <v>0</v>
      </c>
      <c r="AY66" s="50" t="s">
        <v>547</v>
      </c>
      <c r="AZ66" s="50" t="s">
        <v>565</v>
      </c>
      <c r="BA66" s="37" t="s">
        <v>571</v>
      </c>
      <c r="BC66" s="47">
        <f>AW66+AX66</f>
        <v>0</v>
      </c>
      <c r="BD66" s="47">
        <f>G66/(100-BE66)*100</f>
        <v>0</v>
      </c>
      <c r="BE66" s="47">
        <v>0</v>
      </c>
      <c r="BF66" s="47">
        <f>L66</f>
        <v>0</v>
      </c>
      <c r="BH66" s="26">
        <f>F66*AO66</f>
        <v>0</v>
      </c>
      <c r="BI66" s="26">
        <f>F66*AP66</f>
        <v>0</v>
      </c>
      <c r="BJ66" s="26">
        <f>F66*G66</f>
        <v>0</v>
      </c>
      <c r="BK66" s="26" t="s">
        <v>576</v>
      </c>
      <c r="BL66" s="47">
        <v>722</v>
      </c>
    </row>
    <row r="67" spans="1:14" ht="12.75">
      <c r="A67" s="5"/>
      <c r="C67" s="18" t="s">
        <v>296</v>
      </c>
      <c r="D67" s="20" t="s">
        <v>455</v>
      </c>
      <c r="F67" s="27">
        <v>10</v>
      </c>
      <c r="M67" s="42"/>
      <c r="N67" s="5"/>
    </row>
    <row r="68" spans="1:14" ht="12.75">
      <c r="A68" s="5"/>
      <c r="C68" s="18" t="s">
        <v>9</v>
      </c>
      <c r="D68" s="20" t="s">
        <v>456</v>
      </c>
      <c r="F68" s="27">
        <v>3</v>
      </c>
      <c r="M68" s="42"/>
      <c r="N68" s="5"/>
    </row>
    <row r="69" spans="1:14" ht="12.75">
      <c r="A69" s="5"/>
      <c r="C69" s="18" t="s">
        <v>9</v>
      </c>
      <c r="D69" s="20" t="s">
        <v>457</v>
      </c>
      <c r="F69" s="27">
        <v>3</v>
      </c>
      <c r="M69" s="42"/>
      <c r="N69" s="5"/>
    </row>
    <row r="70" spans="1:64" ht="12.75">
      <c r="A70" s="4" t="s">
        <v>32</v>
      </c>
      <c r="B70" s="14" t="s">
        <v>150</v>
      </c>
      <c r="C70" s="244" t="s">
        <v>297</v>
      </c>
      <c r="D70" s="245"/>
      <c r="E70" s="14" t="s">
        <v>506</v>
      </c>
      <c r="F70" s="26">
        <v>6</v>
      </c>
      <c r="G70" s="155">
        <v>0</v>
      </c>
      <c r="H70" s="26">
        <f>F70*AO70</f>
        <v>0</v>
      </c>
      <c r="I70" s="26">
        <f>F70*AP70</f>
        <v>0</v>
      </c>
      <c r="J70" s="26">
        <f>F70*G70</f>
        <v>0</v>
      </c>
      <c r="K70" s="26">
        <v>0.00012</v>
      </c>
      <c r="L70" s="26">
        <f>F70*K70</f>
        <v>0.00072</v>
      </c>
      <c r="M70" s="41" t="s">
        <v>683</v>
      </c>
      <c r="N70" s="5"/>
      <c r="Z70" s="47">
        <f>IF(AQ70="5",BJ70,0)</f>
        <v>0</v>
      </c>
      <c r="AB70" s="47">
        <f>IF(AQ70="1",BH70,0)</f>
        <v>0</v>
      </c>
      <c r="AC70" s="47">
        <f>IF(AQ70="1",BI70,0)</f>
        <v>0</v>
      </c>
      <c r="AD70" s="47">
        <f>IF(AQ70="7",BH70,0)</f>
        <v>0</v>
      </c>
      <c r="AE70" s="47">
        <f>IF(AQ70="7",BI70,0)</f>
        <v>0</v>
      </c>
      <c r="AF70" s="47">
        <f>IF(AQ70="2",BH70,0)</f>
        <v>0</v>
      </c>
      <c r="AG70" s="47">
        <f>IF(AQ70="2",BI70,0)</f>
        <v>0</v>
      </c>
      <c r="AH70" s="47">
        <f>IF(AQ70="0",BJ70,0)</f>
        <v>0</v>
      </c>
      <c r="AI70" s="37"/>
      <c r="AJ70" s="26">
        <f>IF(AN70=0,J70,0)</f>
        <v>0</v>
      </c>
      <c r="AK70" s="26">
        <f>IF(AN70=15,J70,0)</f>
        <v>0</v>
      </c>
      <c r="AL70" s="26">
        <f>IF(AN70=21,J70,0)</f>
        <v>0</v>
      </c>
      <c r="AN70" s="47">
        <v>21</v>
      </c>
      <c r="AO70" s="47">
        <f>G70*0.676143790849673</f>
        <v>0</v>
      </c>
      <c r="AP70" s="47">
        <f>G70*(1-0.676143790849673)</f>
        <v>0</v>
      </c>
      <c r="AQ70" s="48" t="s">
        <v>13</v>
      </c>
      <c r="AV70" s="47">
        <f>AW70+AX70</f>
        <v>0</v>
      </c>
      <c r="AW70" s="47">
        <f>F70*AO70</f>
        <v>0</v>
      </c>
      <c r="AX70" s="47">
        <f>F70*AP70</f>
        <v>0</v>
      </c>
      <c r="AY70" s="50" t="s">
        <v>547</v>
      </c>
      <c r="AZ70" s="50" t="s">
        <v>565</v>
      </c>
      <c r="BA70" s="37" t="s">
        <v>571</v>
      </c>
      <c r="BC70" s="47">
        <f>AW70+AX70</f>
        <v>0</v>
      </c>
      <c r="BD70" s="47">
        <f>G70/(100-BE70)*100</f>
        <v>0</v>
      </c>
      <c r="BE70" s="47">
        <v>0</v>
      </c>
      <c r="BF70" s="47">
        <f>L70</f>
        <v>0.00072</v>
      </c>
      <c r="BH70" s="26">
        <f>F70*AO70</f>
        <v>0</v>
      </c>
      <c r="BI70" s="26">
        <f>F70*AP70</f>
        <v>0</v>
      </c>
      <c r="BJ70" s="26">
        <f>F70*G70</f>
        <v>0</v>
      </c>
      <c r="BK70" s="26" t="s">
        <v>576</v>
      </c>
      <c r="BL70" s="47">
        <v>722</v>
      </c>
    </row>
    <row r="71" spans="1:14" ht="12.75">
      <c r="A71" s="5"/>
      <c r="C71" s="18" t="s">
        <v>8</v>
      </c>
      <c r="D71" s="20" t="s">
        <v>458</v>
      </c>
      <c r="F71" s="27">
        <v>2</v>
      </c>
      <c r="M71" s="42"/>
      <c r="N71" s="5"/>
    </row>
    <row r="72" spans="1:14" ht="12.75">
      <c r="A72" s="5"/>
      <c r="C72" s="18" t="s">
        <v>8</v>
      </c>
      <c r="D72" s="20" t="s">
        <v>459</v>
      </c>
      <c r="F72" s="27">
        <v>2</v>
      </c>
      <c r="M72" s="42"/>
      <c r="N72" s="5"/>
    </row>
    <row r="73" spans="1:14" ht="12.75">
      <c r="A73" s="5"/>
      <c r="C73" s="18" t="s">
        <v>8</v>
      </c>
      <c r="D73" s="20" t="s">
        <v>460</v>
      </c>
      <c r="F73" s="27">
        <v>2</v>
      </c>
      <c r="M73" s="42"/>
      <c r="N73" s="5"/>
    </row>
    <row r="74" spans="1:64" ht="12.75">
      <c r="A74" s="4" t="s">
        <v>33</v>
      </c>
      <c r="B74" s="14" t="s">
        <v>151</v>
      </c>
      <c r="C74" s="244" t="s">
        <v>298</v>
      </c>
      <c r="D74" s="245"/>
      <c r="E74" s="14" t="s">
        <v>506</v>
      </c>
      <c r="F74" s="26">
        <v>13</v>
      </c>
      <c r="G74" s="155">
        <v>0</v>
      </c>
      <c r="H74" s="26">
        <f>F74*AO74</f>
        <v>0</v>
      </c>
      <c r="I74" s="26">
        <f>F74*AP74</f>
        <v>0</v>
      </c>
      <c r="J74" s="26">
        <f>F74*G74</f>
        <v>0</v>
      </c>
      <c r="K74" s="26">
        <v>0.00017</v>
      </c>
      <c r="L74" s="26">
        <f>F74*K74</f>
        <v>0.00221</v>
      </c>
      <c r="M74" s="41" t="s">
        <v>683</v>
      </c>
      <c r="N74" s="5"/>
      <c r="Z74" s="47">
        <f>IF(AQ74="5",BJ74,0)</f>
        <v>0</v>
      </c>
      <c r="AB74" s="47">
        <f>IF(AQ74="1",BH74,0)</f>
        <v>0</v>
      </c>
      <c r="AC74" s="47">
        <f>IF(AQ74="1",BI74,0)</f>
        <v>0</v>
      </c>
      <c r="AD74" s="47">
        <f>IF(AQ74="7",BH74,0)</f>
        <v>0</v>
      </c>
      <c r="AE74" s="47">
        <f>IF(AQ74="7",BI74,0)</f>
        <v>0</v>
      </c>
      <c r="AF74" s="47">
        <f>IF(AQ74="2",BH74,0)</f>
        <v>0</v>
      </c>
      <c r="AG74" s="47">
        <f>IF(AQ74="2",BI74,0)</f>
        <v>0</v>
      </c>
      <c r="AH74" s="47">
        <f>IF(AQ74="0",BJ74,0)</f>
        <v>0</v>
      </c>
      <c r="AI74" s="37"/>
      <c r="AJ74" s="26">
        <f>IF(AN74=0,J74,0)</f>
        <v>0</v>
      </c>
      <c r="AK74" s="26">
        <f>IF(AN74=15,J74,0)</f>
        <v>0</v>
      </c>
      <c r="AL74" s="26">
        <f>IF(AN74=21,J74,0)</f>
        <v>0</v>
      </c>
      <c r="AN74" s="47">
        <v>21</v>
      </c>
      <c r="AO74" s="47">
        <f>G74*0.750063051702396</f>
        <v>0</v>
      </c>
      <c r="AP74" s="47">
        <f>G74*(1-0.750063051702396)</f>
        <v>0</v>
      </c>
      <c r="AQ74" s="48" t="s">
        <v>13</v>
      </c>
      <c r="AV74" s="47">
        <f>AW74+AX74</f>
        <v>0</v>
      </c>
      <c r="AW74" s="47">
        <f>F74*AO74</f>
        <v>0</v>
      </c>
      <c r="AX74" s="47">
        <f>F74*AP74</f>
        <v>0</v>
      </c>
      <c r="AY74" s="50" t="s">
        <v>547</v>
      </c>
      <c r="AZ74" s="50" t="s">
        <v>565</v>
      </c>
      <c r="BA74" s="37" t="s">
        <v>571</v>
      </c>
      <c r="BC74" s="47">
        <f>AW74+AX74</f>
        <v>0</v>
      </c>
      <c r="BD74" s="47">
        <f>G74/(100-BE74)*100</f>
        <v>0</v>
      </c>
      <c r="BE74" s="47">
        <v>0</v>
      </c>
      <c r="BF74" s="47">
        <f>L74</f>
        <v>0.00221</v>
      </c>
      <c r="BH74" s="26">
        <f>F74*AO74</f>
        <v>0</v>
      </c>
      <c r="BI74" s="26">
        <f>F74*AP74</f>
        <v>0</v>
      </c>
      <c r="BJ74" s="26">
        <f>F74*G74</f>
        <v>0</v>
      </c>
      <c r="BK74" s="26" t="s">
        <v>576</v>
      </c>
      <c r="BL74" s="47">
        <v>722</v>
      </c>
    </row>
    <row r="75" spans="1:14" ht="12.75">
      <c r="A75" s="5"/>
      <c r="C75" s="18" t="s">
        <v>15</v>
      </c>
      <c r="D75" s="20" t="s">
        <v>461</v>
      </c>
      <c r="F75" s="27">
        <v>9</v>
      </c>
      <c r="M75" s="42"/>
      <c r="N75" s="5"/>
    </row>
    <row r="76" spans="1:14" ht="12.75">
      <c r="A76" s="5"/>
      <c r="C76" s="18" t="s">
        <v>10</v>
      </c>
      <c r="D76" s="20" t="s">
        <v>458</v>
      </c>
      <c r="F76" s="27">
        <v>4</v>
      </c>
      <c r="M76" s="42"/>
      <c r="N76" s="5"/>
    </row>
    <row r="77" spans="1:64" ht="12.75">
      <c r="A77" s="4" t="s">
        <v>34</v>
      </c>
      <c r="B77" s="14" t="s">
        <v>152</v>
      </c>
      <c r="C77" s="244" t="s">
        <v>299</v>
      </c>
      <c r="D77" s="245"/>
      <c r="E77" s="14" t="s">
        <v>506</v>
      </c>
      <c r="F77" s="26">
        <v>2</v>
      </c>
      <c r="G77" s="155">
        <v>0</v>
      </c>
      <c r="H77" s="26">
        <f>F77*AO77</f>
        <v>0</v>
      </c>
      <c r="I77" s="26">
        <f>F77*AP77</f>
        <v>0</v>
      </c>
      <c r="J77" s="26">
        <f>F77*G77</f>
        <v>0</v>
      </c>
      <c r="K77" s="26">
        <v>0.00017</v>
      </c>
      <c r="L77" s="26">
        <f>F77*K77</f>
        <v>0.00034</v>
      </c>
      <c r="M77" s="41" t="s">
        <v>683</v>
      </c>
      <c r="N77" s="5"/>
      <c r="Z77" s="47">
        <f>IF(AQ77="5",BJ77,0)</f>
        <v>0</v>
      </c>
      <c r="AB77" s="47">
        <f>IF(AQ77="1",BH77,0)</f>
        <v>0</v>
      </c>
      <c r="AC77" s="47">
        <f>IF(AQ77="1",BI77,0)</f>
        <v>0</v>
      </c>
      <c r="AD77" s="47">
        <f>IF(AQ77="7",BH77,0)</f>
        <v>0</v>
      </c>
      <c r="AE77" s="47">
        <f>IF(AQ77="7",BI77,0)</f>
        <v>0</v>
      </c>
      <c r="AF77" s="47">
        <f>IF(AQ77="2",BH77,0)</f>
        <v>0</v>
      </c>
      <c r="AG77" s="47">
        <f>IF(AQ77="2",BI77,0)</f>
        <v>0</v>
      </c>
      <c r="AH77" s="47">
        <f>IF(AQ77="0",BJ77,0)</f>
        <v>0</v>
      </c>
      <c r="AI77" s="37"/>
      <c r="AJ77" s="26">
        <f>IF(AN77=0,J77,0)</f>
        <v>0</v>
      </c>
      <c r="AK77" s="26">
        <f>IF(AN77=15,J77,0)</f>
        <v>0</v>
      </c>
      <c r="AL77" s="26">
        <f>IF(AN77=21,J77,0)</f>
        <v>0</v>
      </c>
      <c r="AN77" s="47">
        <v>21</v>
      </c>
      <c r="AO77" s="47">
        <f>G77*0.769946865037194</f>
        <v>0</v>
      </c>
      <c r="AP77" s="47">
        <f>G77*(1-0.769946865037194)</f>
        <v>0</v>
      </c>
      <c r="AQ77" s="48" t="s">
        <v>13</v>
      </c>
      <c r="AV77" s="47">
        <f>AW77+AX77</f>
        <v>0</v>
      </c>
      <c r="AW77" s="47">
        <f>F77*AO77</f>
        <v>0</v>
      </c>
      <c r="AX77" s="47">
        <f>F77*AP77</f>
        <v>0</v>
      </c>
      <c r="AY77" s="50" t="s">
        <v>547</v>
      </c>
      <c r="AZ77" s="50" t="s">
        <v>565</v>
      </c>
      <c r="BA77" s="37" t="s">
        <v>571</v>
      </c>
      <c r="BC77" s="47">
        <f>AW77+AX77</f>
        <v>0</v>
      </c>
      <c r="BD77" s="47">
        <f>G77/(100-BE77)*100</f>
        <v>0</v>
      </c>
      <c r="BE77" s="47">
        <v>0</v>
      </c>
      <c r="BF77" s="47">
        <f>L77</f>
        <v>0.00034</v>
      </c>
      <c r="BH77" s="26">
        <f>F77*AO77</f>
        <v>0</v>
      </c>
      <c r="BI77" s="26">
        <f>F77*AP77</f>
        <v>0</v>
      </c>
      <c r="BJ77" s="26">
        <f>F77*G77</f>
        <v>0</v>
      </c>
      <c r="BK77" s="26" t="s">
        <v>576</v>
      </c>
      <c r="BL77" s="47">
        <v>722</v>
      </c>
    </row>
    <row r="78" spans="1:14" ht="12.75">
      <c r="A78" s="5"/>
      <c r="C78" s="18" t="s">
        <v>8</v>
      </c>
      <c r="D78" s="20" t="s">
        <v>461</v>
      </c>
      <c r="F78" s="27">
        <v>2</v>
      </c>
      <c r="M78" s="42"/>
      <c r="N78" s="5"/>
    </row>
    <row r="79" spans="1:64" ht="12.75">
      <c r="A79" s="4" t="s">
        <v>35</v>
      </c>
      <c r="B79" s="14" t="s">
        <v>153</v>
      </c>
      <c r="C79" s="244" t="s">
        <v>300</v>
      </c>
      <c r="D79" s="245"/>
      <c r="E79" s="14" t="s">
        <v>506</v>
      </c>
      <c r="F79" s="26">
        <v>138</v>
      </c>
      <c r="G79" s="155">
        <v>0</v>
      </c>
      <c r="H79" s="26">
        <f>F79*AO79</f>
        <v>0</v>
      </c>
      <c r="I79" s="26">
        <f>F79*AP79</f>
        <v>0</v>
      </c>
      <c r="J79" s="26">
        <f>F79*G79</f>
        <v>0</v>
      </c>
      <c r="K79" s="26">
        <v>0.00063</v>
      </c>
      <c r="L79" s="26">
        <f>F79*K79</f>
        <v>0.08694</v>
      </c>
      <c r="M79" s="41" t="s">
        <v>683</v>
      </c>
      <c r="N79" s="5"/>
      <c r="Z79" s="47">
        <f>IF(AQ79="5",BJ79,0)</f>
        <v>0</v>
      </c>
      <c r="AB79" s="47">
        <f>IF(AQ79="1",BH79,0)</f>
        <v>0</v>
      </c>
      <c r="AC79" s="47">
        <f>IF(AQ79="1",BI79,0)</f>
        <v>0</v>
      </c>
      <c r="AD79" s="47">
        <f>IF(AQ79="7",BH79,0)</f>
        <v>0</v>
      </c>
      <c r="AE79" s="47">
        <f>IF(AQ79="7",BI79,0)</f>
        <v>0</v>
      </c>
      <c r="AF79" s="47">
        <f>IF(AQ79="2",BH79,0)</f>
        <v>0</v>
      </c>
      <c r="AG79" s="47">
        <f>IF(AQ79="2",BI79,0)</f>
        <v>0</v>
      </c>
      <c r="AH79" s="47">
        <f>IF(AQ79="0",BJ79,0)</f>
        <v>0</v>
      </c>
      <c r="AI79" s="37"/>
      <c r="AJ79" s="26">
        <f>IF(AN79=0,J79,0)</f>
        <v>0</v>
      </c>
      <c r="AK79" s="26">
        <f>IF(AN79=15,J79,0)</f>
        <v>0</v>
      </c>
      <c r="AL79" s="26">
        <f>IF(AN79=21,J79,0)</f>
        <v>0</v>
      </c>
      <c r="AN79" s="47">
        <v>21</v>
      </c>
      <c r="AO79" s="47">
        <f>G79*0.488463251670379</f>
        <v>0</v>
      </c>
      <c r="AP79" s="47">
        <f>G79*(1-0.488463251670379)</f>
        <v>0</v>
      </c>
      <c r="AQ79" s="48" t="s">
        <v>13</v>
      </c>
      <c r="AV79" s="47">
        <f>AW79+AX79</f>
        <v>0</v>
      </c>
      <c r="AW79" s="47">
        <f>F79*AO79</f>
        <v>0</v>
      </c>
      <c r="AX79" s="47">
        <f>F79*AP79</f>
        <v>0</v>
      </c>
      <c r="AY79" s="50" t="s">
        <v>547</v>
      </c>
      <c r="AZ79" s="50" t="s">
        <v>565</v>
      </c>
      <c r="BA79" s="37" t="s">
        <v>571</v>
      </c>
      <c r="BC79" s="47">
        <f>AW79+AX79</f>
        <v>0</v>
      </c>
      <c r="BD79" s="47">
        <f>G79/(100-BE79)*100</f>
        <v>0</v>
      </c>
      <c r="BE79" s="47">
        <v>0</v>
      </c>
      <c r="BF79" s="47">
        <f>L79</f>
        <v>0.08694</v>
      </c>
      <c r="BH79" s="26">
        <f>F79*AO79</f>
        <v>0</v>
      </c>
      <c r="BI79" s="26">
        <f>F79*AP79</f>
        <v>0</v>
      </c>
      <c r="BJ79" s="26">
        <f>F79*G79</f>
        <v>0</v>
      </c>
      <c r="BK79" s="26" t="s">
        <v>576</v>
      </c>
      <c r="BL79" s="47">
        <v>722</v>
      </c>
    </row>
    <row r="80" spans="1:14" ht="12.75">
      <c r="A80" s="5"/>
      <c r="C80" s="18" t="s">
        <v>301</v>
      </c>
      <c r="D80" s="20" t="s">
        <v>455</v>
      </c>
      <c r="F80" s="27">
        <v>82</v>
      </c>
      <c r="M80" s="42"/>
      <c r="N80" s="5"/>
    </row>
    <row r="81" spans="1:14" ht="12.75">
      <c r="A81" s="5"/>
      <c r="C81" s="18" t="s">
        <v>302</v>
      </c>
      <c r="D81" s="20" t="s">
        <v>456</v>
      </c>
      <c r="F81" s="27">
        <v>27</v>
      </c>
      <c r="M81" s="42"/>
      <c r="N81" s="5"/>
    </row>
    <row r="82" spans="1:14" ht="12.75">
      <c r="A82" s="5"/>
      <c r="C82" s="18" t="s">
        <v>303</v>
      </c>
      <c r="D82" s="20" t="s">
        <v>462</v>
      </c>
      <c r="F82" s="27">
        <v>12</v>
      </c>
      <c r="M82" s="42"/>
      <c r="N82" s="5"/>
    </row>
    <row r="83" spans="1:14" ht="12.75">
      <c r="A83" s="5"/>
      <c r="C83" s="18" t="s">
        <v>304</v>
      </c>
      <c r="D83" s="20" t="s">
        <v>457</v>
      </c>
      <c r="F83" s="27">
        <v>12</v>
      </c>
      <c r="M83" s="42"/>
      <c r="N83" s="5"/>
    </row>
    <row r="84" spans="1:14" ht="12.75">
      <c r="A84" s="5"/>
      <c r="C84" s="18" t="s">
        <v>7</v>
      </c>
      <c r="D84" s="20" t="s">
        <v>463</v>
      </c>
      <c r="F84" s="27">
        <v>1</v>
      </c>
      <c r="M84" s="42"/>
      <c r="N84" s="5"/>
    </row>
    <row r="85" spans="1:14" ht="12.75">
      <c r="A85" s="5"/>
      <c r="C85" s="18" t="s">
        <v>8</v>
      </c>
      <c r="D85" s="20" t="s">
        <v>464</v>
      </c>
      <c r="F85" s="27">
        <v>2</v>
      </c>
      <c r="M85" s="42"/>
      <c r="N85" s="5"/>
    </row>
    <row r="86" spans="1:14" ht="12.75">
      <c r="A86" s="5"/>
      <c r="C86" s="18" t="s">
        <v>8</v>
      </c>
      <c r="D86" s="20" t="s">
        <v>465</v>
      </c>
      <c r="F86" s="27">
        <v>2</v>
      </c>
      <c r="M86" s="42"/>
      <c r="N86" s="5"/>
    </row>
    <row r="87" spans="1:64" ht="12.75">
      <c r="A87" s="4" t="s">
        <v>36</v>
      </c>
      <c r="B87" s="14" t="s">
        <v>154</v>
      </c>
      <c r="C87" s="244" t="s">
        <v>305</v>
      </c>
      <c r="D87" s="245"/>
      <c r="E87" s="14" t="s">
        <v>506</v>
      </c>
      <c r="F87" s="26">
        <v>3</v>
      </c>
      <c r="G87" s="155">
        <v>0</v>
      </c>
      <c r="H87" s="26">
        <f>F87*AO87</f>
        <v>0</v>
      </c>
      <c r="I87" s="26">
        <f>F87*AP87</f>
        <v>0</v>
      </c>
      <c r="J87" s="26">
        <f>F87*G87</f>
        <v>0</v>
      </c>
      <c r="K87" s="26">
        <v>0.0016</v>
      </c>
      <c r="L87" s="26">
        <f>F87*K87</f>
        <v>0.0048000000000000004</v>
      </c>
      <c r="M87" s="41" t="s">
        <v>683</v>
      </c>
      <c r="N87" s="5"/>
      <c r="Z87" s="47">
        <f>IF(AQ87="5",BJ87,0)</f>
        <v>0</v>
      </c>
      <c r="AB87" s="47">
        <f>IF(AQ87="1",BH87,0)</f>
        <v>0</v>
      </c>
      <c r="AC87" s="47">
        <f>IF(AQ87="1",BI87,0)</f>
        <v>0</v>
      </c>
      <c r="AD87" s="47">
        <f>IF(AQ87="7",BH87,0)</f>
        <v>0</v>
      </c>
      <c r="AE87" s="47">
        <f>IF(AQ87="7",BI87,0)</f>
        <v>0</v>
      </c>
      <c r="AF87" s="47">
        <f>IF(AQ87="2",BH87,0)</f>
        <v>0</v>
      </c>
      <c r="AG87" s="47">
        <f>IF(AQ87="2",BI87,0)</f>
        <v>0</v>
      </c>
      <c r="AH87" s="47">
        <f>IF(AQ87="0",BJ87,0)</f>
        <v>0</v>
      </c>
      <c r="AI87" s="37"/>
      <c r="AJ87" s="26">
        <f>IF(AN87=0,J87,0)</f>
        <v>0</v>
      </c>
      <c r="AK87" s="26">
        <f>IF(AN87=15,J87,0)</f>
        <v>0</v>
      </c>
      <c r="AL87" s="26">
        <f>IF(AN87=21,J87,0)</f>
        <v>0</v>
      </c>
      <c r="AN87" s="47">
        <v>21</v>
      </c>
      <c r="AO87" s="47">
        <f>G87*0.960114285314127</f>
        <v>0</v>
      </c>
      <c r="AP87" s="47">
        <f>G87*(1-0.960114285314127)</f>
        <v>0</v>
      </c>
      <c r="AQ87" s="48" t="s">
        <v>13</v>
      </c>
      <c r="AV87" s="47">
        <f>AW87+AX87</f>
        <v>0</v>
      </c>
      <c r="AW87" s="47">
        <f>F87*AO87</f>
        <v>0</v>
      </c>
      <c r="AX87" s="47">
        <f>F87*AP87</f>
        <v>0</v>
      </c>
      <c r="AY87" s="50" t="s">
        <v>547</v>
      </c>
      <c r="AZ87" s="50" t="s">
        <v>565</v>
      </c>
      <c r="BA87" s="37" t="s">
        <v>571</v>
      </c>
      <c r="BC87" s="47">
        <f>AW87+AX87</f>
        <v>0</v>
      </c>
      <c r="BD87" s="47">
        <f>G87/(100-BE87)*100</f>
        <v>0</v>
      </c>
      <c r="BE87" s="47">
        <v>0</v>
      </c>
      <c r="BF87" s="47">
        <f>L87</f>
        <v>0.0048000000000000004</v>
      </c>
      <c r="BH87" s="26">
        <f>F87*AO87</f>
        <v>0</v>
      </c>
      <c r="BI87" s="26">
        <f>F87*AP87</f>
        <v>0</v>
      </c>
      <c r="BJ87" s="26">
        <f>F87*G87</f>
        <v>0</v>
      </c>
      <c r="BK87" s="26" t="s">
        <v>576</v>
      </c>
      <c r="BL87" s="47">
        <v>722</v>
      </c>
    </row>
    <row r="88" spans="1:14" ht="12.75">
      <c r="A88" s="5"/>
      <c r="C88" s="18" t="s">
        <v>8</v>
      </c>
      <c r="D88" s="20" t="s">
        <v>466</v>
      </c>
      <c r="F88" s="27">
        <v>2</v>
      </c>
      <c r="M88" s="42"/>
      <c r="N88" s="5"/>
    </row>
    <row r="89" spans="1:14" ht="12.75">
      <c r="A89" s="5"/>
      <c r="C89" s="18" t="s">
        <v>7</v>
      </c>
      <c r="D89" s="20" t="s">
        <v>461</v>
      </c>
      <c r="F89" s="27">
        <v>1</v>
      </c>
      <c r="M89" s="42"/>
      <c r="N89" s="5"/>
    </row>
    <row r="90" spans="1:64" ht="12.75">
      <c r="A90" s="4" t="s">
        <v>37</v>
      </c>
      <c r="B90" s="14" t="s">
        <v>155</v>
      </c>
      <c r="C90" s="244" t="s">
        <v>306</v>
      </c>
      <c r="D90" s="245"/>
      <c r="E90" s="14" t="s">
        <v>508</v>
      </c>
      <c r="F90" s="26">
        <v>384.8</v>
      </c>
      <c r="G90" s="155">
        <v>0</v>
      </c>
      <c r="H90" s="26">
        <f>F90*AO90</f>
        <v>0</v>
      </c>
      <c r="I90" s="26">
        <f>F90*AP90</f>
        <v>0</v>
      </c>
      <c r="J90" s="26">
        <f>F90*G90</f>
        <v>0</v>
      </c>
      <c r="K90" s="26">
        <v>1E-05</v>
      </c>
      <c r="L90" s="26">
        <f>F90*K90</f>
        <v>0.0038480000000000003</v>
      </c>
      <c r="M90" s="41" t="s">
        <v>683</v>
      </c>
      <c r="N90" s="5"/>
      <c r="Z90" s="47">
        <f>IF(AQ90="5",BJ90,0)</f>
        <v>0</v>
      </c>
      <c r="AB90" s="47">
        <f>IF(AQ90="1",BH90,0)</f>
        <v>0</v>
      </c>
      <c r="AC90" s="47">
        <f>IF(AQ90="1",BI90,0)</f>
        <v>0</v>
      </c>
      <c r="AD90" s="47">
        <f>IF(AQ90="7",BH90,0)</f>
        <v>0</v>
      </c>
      <c r="AE90" s="47">
        <f>IF(AQ90="7",BI90,0)</f>
        <v>0</v>
      </c>
      <c r="AF90" s="47">
        <f>IF(AQ90="2",BH90,0)</f>
        <v>0</v>
      </c>
      <c r="AG90" s="47">
        <f>IF(AQ90="2",BI90,0)</f>
        <v>0</v>
      </c>
      <c r="AH90" s="47">
        <f>IF(AQ90="0",BJ90,0)</f>
        <v>0</v>
      </c>
      <c r="AI90" s="37"/>
      <c r="AJ90" s="26">
        <f>IF(AN90=0,J90,0)</f>
        <v>0</v>
      </c>
      <c r="AK90" s="26">
        <f>IF(AN90=15,J90,0)</f>
        <v>0</v>
      </c>
      <c r="AL90" s="26">
        <f>IF(AN90=21,J90,0)</f>
        <v>0</v>
      </c>
      <c r="AN90" s="47">
        <v>21</v>
      </c>
      <c r="AO90" s="47">
        <f>G90*0.0507788147311796</f>
        <v>0</v>
      </c>
      <c r="AP90" s="47">
        <f>G90*(1-0.0507788147311796)</f>
        <v>0</v>
      </c>
      <c r="AQ90" s="48" t="s">
        <v>13</v>
      </c>
      <c r="AV90" s="47">
        <f>AW90+AX90</f>
        <v>0</v>
      </c>
      <c r="AW90" s="47">
        <f>F90*AO90</f>
        <v>0</v>
      </c>
      <c r="AX90" s="47">
        <f>F90*AP90</f>
        <v>0</v>
      </c>
      <c r="AY90" s="50" t="s">
        <v>547</v>
      </c>
      <c r="AZ90" s="50" t="s">
        <v>565</v>
      </c>
      <c r="BA90" s="37" t="s">
        <v>571</v>
      </c>
      <c r="BC90" s="47">
        <f>AW90+AX90</f>
        <v>0</v>
      </c>
      <c r="BD90" s="47">
        <f>G90/(100-BE90)*100</f>
        <v>0</v>
      </c>
      <c r="BE90" s="47">
        <v>0</v>
      </c>
      <c r="BF90" s="47">
        <f>L90</f>
        <v>0.0038480000000000003</v>
      </c>
      <c r="BH90" s="26">
        <f>F90*AO90</f>
        <v>0</v>
      </c>
      <c r="BI90" s="26">
        <f>F90*AP90</f>
        <v>0</v>
      </c>
      <c r="BJ90" s="26">
        <f>F90*G90</f>
        <v>0</v>
      </c>
      <c r="BK90" s="26" t="s">
        <v>576</v>
      </c>
      <c r="BL90" s="47">
        <v>722</v>
      </c>
    </row>
    <row r="91" spans="1:14" ht="12.75">
      <c r="A91" s="5"/>
      <c r="C91" s="18" t="s">
        <v>307</v>
      </c>
      <c r="D91" s="20" t="s">
        <v>467</v>
      </c>
      <c r="F91" s="27">
        <v>384.8</v>
      </c>
      <c r="M91" s="42"/>
      <c r="N91" s="5"/>
    </row>
    <row r="92" spans="1:64" ht="12.75">
      <c r="A92" s="4" t="s">
        <v>38</v>
      </c>
      <c r="B92" s="14" t="s">
        <v>156</v>
      </c>
      <c r="C92" s="244" t="s">
        <v>308</v>
      </c>
      <c r="D92" s="245"/>
      <c r="E92" s="14" t="s">
        <v>508</v>
      </c>
      <c r="F92" s="26">
        <v>326</v>
      </c>
      <c r="G92" s="155">
        <v>0</v>
      </c>
      <c r="H92" s="26">
        <f>F92*AO92</f>
        <v>0</v>
      </c>
      <c r="I92" s="26">
        <f>F92*AP92</f>
        <v>0</v>
      </c>
      <c r="J92" s="26">
        <f>F92*G92</f>
        <v>0</v>
      </c>
      <c r="K92" s="26">
        <v>0</v>
      </c>
      <c r="L92" s="26">
        <f>F92*K92</f>
        <v>0</v>
      </c>
      <c r="M92" s="41" t="s">
        <v>683</v>
      </c>
      <c r="N92" s="5"/>
      <c r="Z92" s="47">
        <f>IF(AQ92="5",BJ92,0)</f>
        <v>0</v>
      </c>
      <c r="AB92" s="47">
        <f>IF(AQ92="1",BH92,0)</f>
        <v>0</v>
      </c>
      <c r="AC92" s="47">
        <f>IF(AQ92="1",BI92,0)</f>
        <v>0</v>
      </c>
      <c r="AD92" s="47">
        <f>IF(AQ92="7",BH92,0)</f>
        <v>0</v>
      </c>
      <c r="AE92" s="47">
        <f>IF(AQ92="7",BI92,0)</f>
        <v>0</v>
      </c>
      <c r="AF92" s="47">
        <f>IF(AQ92="2",BH92,0)</f>
        <v>0</v>
      </c>
      <c r="AG92" s="47">
        <f>IF(AQ92="2",BI92,0)</f>
        <v>0</v>
      </c>
      <c r="AH92" s="47">
        <f>IF(AQ92="0",BJ92,0)</f>
        <v>0</v>
      </c>
      <c r="AI92" s="37"/>
      <c r="AJ92" s="26">
        <f>IF(AN92=0,J92,0)</f>
        <v>0</v>
      </c>
      <c r="AK92" s="26">
        <f>IF(AN92=15,J92,0)</f>
        <v>0</v>
      </c>
      <c r="AL92" s="26">
        <f>IF(AN92=21,J92,0)</f>
        <v>0</v>
      </c>
      <c r="AN92" s="47">
        <v>21</v>
      </c>
      <c r="AO92" s="47">
        <f>G92*0.0144827586206897</f>
        <v>0</v>
      </c>
      <c r="AP92" s="47">
        <f>G92*(1-0.0144827586206897)</f>
        <v>0</v>
      </c>
      <c r="AQ92" s="48" t="s">
        <v>13</v>
      </c>
      <c r="AV92" s="47">
        <f>AW92+AX92</f>
        <v>0</v>
      </c>
      <c r="AW92" s="47">
        <f>F92*AO92</f>
        <v>0</v>
      </c>
      <c r="AX92" s="47">
        <f>F92*AP92</f>
        <v>0</v>
      </c>
      <c r="AY92" s="50" t="s">
        <v>547</v>
      </c>
      <c r="AZ92" s="50" t="s">
        <v>565</v>
      </c>
      <c r="BA92" s="37" t="s">
        <v>571</v>
      </c>
      <c r="BC92" s="47">
        <f>AW92+AX92</f>
        <v>0</v>
      </c>
      <c r="BD92" s="47">
        <f>G92/(100-BE92)*100</f>
        <v>0</v>
      </c>
      <c r="BE92" s="47">
        <v>0</v>
      </c>
      <c r="BF92" s="47">
        <f>L92</f>
        <v>0</v>
      </c>
      <c r="BH92" s="26">
        <f>F92*AO92</f>
        <v>0</v>
      </c>
      <c r="BI92" s="26">
        <f>F92*AP92</f>
        <v>0</v>
      </c>
      <c r="BJ92" s="26">
        <f>F92*G92</f>
        <v>0</v>
      </c>
      <c r="BK92" s="26" t="s">
        <v>576</v>
      </c>
      <c r="BL92" s="47">
        <v>722</v>
      </c>
    </row>
    <row r="93" spans="1:14" ht="12.75">
      <c r="A93" s="5"/>
      <c r="C93" s="18" t="s">
        <v>309</v>
      </c>
      <c r="D93" s="20" t="s">
        <v>468</v>
      </c>
      <c r="F93" s="27">
        <v>236.6</v>
      </c>
      <c r="M93" s="42"/>
      <c r="N93" s="5"/>
    </row>
    <row r="94" spans="1:14" ht="12.75">
      <c r="A94" s="5"/>
      <c r="C94" s="18" t="s">
        <v>310</v>
      </c>
      <c r="D94" s="20" t="s">
        <v>469</v>
      </c>
      <c r="F94" s="27">
        <v>89.4</v>
      </c>
      <c r="M94" s="42"/>
      <c r="N94" s="5"/>
    </row>
    <row r="95" spans="1:64" ht="12.75">
      <c r="A95" s="4" t="s">
        <v>39</v>
      </c>
      <c r="B95" s="14" t="s">
        <v>157</v>
      </c>
      <c r="C95" s="244" t="s">
        <v>311</v>
      </c>
      <c r="D95" s="245"/>
      <c r="E95" s="14" t="s">
        <v>508</v>
      </c>
      <c r="F95" s="26">
        <v>38</v>
      </c>
      <c r="G95" s="155">
        <v>0</v>
      </c>
      <c r="H95" s="26">
        <f>F95*AO95</f>
        <v>0</v>
      </c>
      <c r="I95" s="26">
        <f>F95*AP95</f>
        <v>0</v>
      </c>
      <c r="J95" s="26">
        <f>F95*G95</f>
        <v>0</v>
      </c>
      <c r="K95" s="26">
        <v>0</v>
      </c>
      <c r="L95" s="26">
        <f>F95*K95</f>
        <v>0</v>
      </c>
      <c r="M95" s="41" t="s">
        <v>683</v>
      </c>
      <c r="N95" s="5"/>
      <c r="Z95" s="47">
        <f>IF(AQ95="5",BJ95,0)</f>
        <v>0</v>
      </c>
      <c r="AB95" s="47">
        <f>IF(AQ95="1",BH95,0)</f>
        <v>0</v>
      </c>
      <c r="AC95" s="47">
        <f>IF(AQ95="1",BI95,0)</f>
        <v>0</v>
      </c>
      <c r="AD95" s="47">
        <f>IF(AQ95="7",BH95,0)</f>
        <v>0</v>
      </c>
      <c r="AE95" s="47">
        <f>IF(AQ95="7",BI95,0)</f>
        <v>0</v>
      </c>
      <c r="AF95" s="47">
        <f>IF(AQ95="2",BH95,0)</f>
        <v>0</v>
      </c>
      <c r="AG95" s="47">
        <f>IF(AQ95="2",BI95,0)</f>
        <v>0</v>
      </c>
      <c r="AH95" s="47">
        <f>IF(AQ95="0",BJ95,0)</f>
        <v>0</v>
      </c>
      <c r="AI95" s="37"/>
      <c r="AJ95" s="26">
        <f>IF(AN95=0,J95,0)</f>
        <v>0</v>
      </c>
      <c r="AK95" s="26">
        <f>IF(AN95=15,J95,0)</f>
        <v>0</v>
      </c>
      <c r="AL95" s="26">
        <f>IF(AN95=21,J95,0)</f>
        <v>0</v>
      </c>
      <c r="AN95" s="47">
        <v>21</v>
      </c>
      <c r="AO95" s="47">
        <f>G95*0.0169117939237926</f>
        <v>0</v>
      </c>
      <c r="AP95" s="47">
        <f>G95*(1-0.0169117939237926)</f>
        <v>0</v>
      </c>
      <c r="AQ95" s="48" t="s">
        <v>13</v>
      </c>
      <c r="AV95" s="47">
        <f>AW95+AX95</f>
        <v>0</v>
      </c>
      <c r="AW95" s="47">
        <f>F95*AO95</f>
        <v>0</v>
      </c>
      <c r="AX95" s="47">
        <f>F95*AP95</f>
        <v>0</v>
      </c>
      <c r="AY95" s="50" t="s">
        <v>547</v>
      </c>
      <c r="AZ95" s="50" t="s">
        <v>565</v>
      </c>
      <c r="BA95" s="37" t="s">
        <v>571</v>
      </c>
      <c r="BC95" s="47">
        <f>AW95+AX95</f>
        <v>0</v>
      </c>
      <c r="BD95" s="47">
        <f>G95/(100-BE95)*100</f>
        <v>0</v>
      </c>
      <c r="BE95" s="47">
        <v>0</v>
      </c>
      <c r="BF95" s="47">
        <f>L95</f>
        <v>0</v>
      </c>
      <c r="BH95" s="26">
        <f>F95*AO95</f>
        <v>0</v>
      </c>
      <c r="BI95" s="26">
        <f>F95*AP95</f>
        <v>0</v>
      </c>
      <c r="BJ95" s="26">
        <f>F95*G95</f>
        <v>0</v>
      </c>
      <c r="BK95" s="26" t="s">
        <v>576</v>
      </c>
      <c r="BL95" s="47">
        <v>722</v>
      </c>
    </row>
    <row r="96" spans="1:14" ht="12.75">
      <c r="A96" s="5"/>
      <c r="C96" s="18" t="s">
        <v>44</v>
      </c>
      <c r="D96" s="20" t="s">
        <v>468</v>
      </c>
      <c r="F96" s="27">
        <v>38</v>
      </c>
      <c r="M96" s="42"/>
      <c r="N96" s="5"/>
    </row>
    <row r="97" spans="1:64" ht="12.75">
      <c r="A97" s="4" t="s">
        <v>40</v>
      </c>
      <c r="B97" s="14" t="s">
        <v>158</v>
      </c>
      <c r="C97" s="244" t="s">
        <v>312</v>
      </c>
      <c r="D97" s="245"/>
      <c r="E97" s="14" t="s">
        <v>508</v>
      </c>
      <c r="F97" s="26">
        <v>20.8</v>
      </c>
      <c r="G97" s="155">
        <v>0</v>
      </c>
      <c r="H97" s="26">
        <f>F97*AO97</f>
        <v>0</v>
      </c>
      <c r="I97" s="26">
        <f>F97*AP97</f>
        <v>0</v>
      </c>
      <c r="J97" s="26">
        <f>F97*G97</f>
        <v>0</v>
      </c>
      <c r="K97" s="26">
        <v>0</v>
      </c>
      <c r="L97" s="26">
        <f>F97*K97</f>
        <v>0</v>
      </c>
      <c r="M97" s="41" t="s">
        <v>683</v>
      </c>
      <c r="N97" s="5"/>
      <c r="Z97" s="47">
        <f>IF(AQ97="5",BJ97,0)</f>
        <v>0</v>
      </c>
      <c r="AB97" s="47">
        <f>IF(AQ97="1",BH97,0)</f>
        <v>0</v>
      </c>
      <c r="AC97" s="47">
        <f>IF(AQ97="1",BI97,0)</f>
        <v>0</v>
      </c>
      <c r="AD97" s="47">
        <f>IF(AQ97="7",BH97,0)</f>
        <v>0</v>
      </c>
      <c r="AE97" s="47">
        <f>IF(AQ97="7",BI97,0)</f>
        <v>0</v>
      </c>
      <c r="AF97" s="47">
        <f>IF(AQ97="2",BH97,0)</f>
        <v>0</v>
      </c>
      <c r="AG97" s="47">
        <f>IF(AQ97="2",BI97,0)</f>
        <v>0</v>
      </c>
      <c r="AH97" s="47">
        <f>IF(AQ97="0",BJ97,0)</f>
        <v>0</v>
      </c>
      <c r="AI97" s="37"/>
      <c r="AJ97" s="26">
        <f>IF(AN97=0,J97,0)</f>
        <v>0</v>
      </c>
      <c r="AK97" s="26">
        <f>IF(AN97=15,J97,0)</f>
        <v>0</v>
      </c>
      <c r="AL97" s="26">
        <f>IF(AN97=21,J97,0)</f>
        <v>0</v>
      </c>
      <c r="AN97" s="47">
        <v>21</v>
      </c>
      <c r="AO97" s="47">
        <f>G97*0.0180950901434937</f>
        <v>0</v>
      </c>
      <c r="AP97" s="47">
        <f>G97*(1-0.0180950901434937)</f>
        <v>0</v>
      </c>
      <c r="AQ97" s="48" t="s">
        <v>13</v>
      </c>
      <c r="AV97" s="47">
        <f>AW97+AX97</f>
        <v>0</v>
      </c>
      <c r="AW97" s="47">
        <f>F97*AO97</f>
        <v>0</v>
      </c>
      <c r="AX97" s="47">
        <f>F97*AP97</f>
        <v>0</v>
      </c>
      <c r="AY97" s="50" t="s">
        <v>547</v>
      </c>
      <c r="AZ97" s="50" t="s">
        <v>565</v>
      </c>
      <c r="BA97" s="37" t="s">
        <v>571</v>
      </c>
      <c r="BC97" s="47">
        <f>AW97+AX97</f>
        <v>0</v>
      </c>
      <c r="BD97" s="47">
        <f>G97/(100-BE97)*100</f>
        <v>0</v>
      </c>
      <c r="BE97" s="47">
        <v>0</v>
      </c>
      <c r="BF97" s="47">
        <f>L97</f>
        <v>0</v>
      </c>
      <c r="BH97" s="26">
        <f>F97*AO97</f>
        <v>0</v>
      </c>
      <c r="BI97" s="26">
        <f>F97*AP97</f>
        <v>0</v>
      </c>
      <c r="BJ97" s="26">
        <f>F97*G97</f>
        <v>0</v>
      </c>
      <c r="BK97" s="26" t="s">
        <v>576</v>
      </c>
      <c r="BL97" s="47">
        <v>722</v>
      </c>
    </row>
    <row r="98" spans="1:14" ht="12.75">
      <c r="A98" s="5"/>
      <c r="C98" s="18" t="s">
        <v>313</v>
      </c>
      <c r="D98" s="20" t="s">
        <v>468</v>
      </c>
      <c r="F98" s="27">
        <v>20.8</v>
      </c>
      <c r="M98" s="42"/>
      <c r="N98" s="5"/>
    </row>
    <row r="99" spans="1:64" ht="12.75">
      <c r="A99" s="4" t="s">
        <v>41</v>
      </c>
      <c r="B99" s="14" t="s">
        <v>159</v>
      </c>
      <c r="C99" s="244" t="s">
        <v>314</v>
      </c>
      <c r="D99" s="245"/>
      <c r="E99" s="14" t="s">
        <v>506</v>
      </c>
      <c r="F99" s="26">
        <v>137</v>
      </c>
      <c r="G99" s="155">
        <v>0</v>
      </c>
      <c r="H99" s="26">
        <f>F99*AO99</f>
        <v>0</v>
      </c>
      <c r="I99" s="26">
        <f>F99*AP99</f>
        <v>0</v>
      </c>
      <c r="J99" s="26">
        <f>F99*G99</f>
        <v>0</v>
      </c>
      <c r="K99" s="26">
        <v>0.00011</v>
      </c>
      <c r="L99" s="26">
        <f>F99*K99</f>
        <v>0.01507</v>
      </c>
      <c r="M99" s="41" t="s">
        <v>683</v>
      </c>
      <c r="N99" s="5"/>
      <c r="Z99" s="47">
        <f>IF(AQ99="5",BJ99,0)</f>
        <v>0</v>
      </c>
      <c r="AB99" s="47">
        <f>IF(AQ99="1",BH99,0)</f>
        <v>0</v>
      </c>
      <c r="AC99" s="47">
        <f>IF(AQ99="1",BI99,0)</f>
        <v>0</v>
      </c>
      <c r="AD99" s="47">
        <f>IF(AQ99="7",BH99,0)</f>
        <v>0</v>
      </c>
      <c r="AE99" s="47">
        <f>IF(AQ99="7",BI99,0)</f>
        <v>0</v>
      </c>
      <c r="AF99" s="47">
        <f>IF(AQ99="2",BH99,0)</f>
        <v>0</v>
      </c>
      <c r="AG99" s="47">
        <f>IF(AQ99="2",BI99,0)</f>
        <v>0</v>
      </c>
      <c r="AH99" s="47">
        <f>IF(AQ99="0",BJ99,0)</f>
        <v>0</v>
      </c>
      <c r="AI99" s="37"/>
      <c r="AJ99" s="26">
        <f>IF(AN99=0,J99,0)</f>
        <v>0</v>
      </c>
      <c r="AK99" s="26">
        <f>IF(AN99=15,J99,0)</f>
        <v>0</v>
      </c>
      <c r="AL99" s="26">
        <f>IF(AN99=21,J99,0)</f>
        <v>0</v>
      </c>
      <c r="AN99" s="47">
        <v>21</v>
      </c>
      <c r="AO99" s="47">
        <f>G99*0.675070140280561</f>
        <v>0</v>
      </c>
      <c r="AP99" s="47">
        <f>G99*(1-0.675070140280561)</f>
        <v>0</v>
      </c>
      <c r="AQ99" s="48" t="s">
        <v>13</v>
      </c>
      <c r="AV99" s="47">
        <f>AW99+AX99</f>
        <v>0</v>
      </c>
      <c r="AW99" s="47">
        <f>F99*AO99</f>
        <v>0</v>
      </c>
      <c r="AX99" s="47">
        <f>F99*AP99</f>
        <v>0</v>
      </c>
      <c r="AY99" s="50" t="s">
        <v>547</v>
      </c>
      <c r="AZ99" s="50" t="s">
        <v>565</v>
      </c>
      <c r="BA99" s="37" t="s">
        <v>571</v>
      </c>
      <c r="BC99" s="47">
        <f>AW99+AX99</f>
        <v>0</v>
      </c>
      <c r="BD99" s="47">
        <f>G99/(100-BE99)*100</f>
        <v>0</v>
      </c>
      <c r="BE99" s="47">
        <v>0</v>
      </c>
      <c r="BF99" s="47">
        <f>L99</f>
        <v>0.01507</v>
      </c>
      <c r="BH99" s="26">
        <f>F99*AO99</f>
        <v>0</v>
      </c>
      <c r="BI99" s="26">
        <f>F99*AP99</f>
        <v>0</v>
      </c>
      <c r="BJ99" s="26">
        <f>F99*G99</f>
        <v>0</v>
      </c>
      <c r="BK99" s="26" t="s">
        <v>576</v>
      </c>
      <c r="BL99" s="47">
        <v>722</v>
      </c>
    </row>
    <row r="100" spans="1:14" ht="12.75">
      <c r="A100" s="5"/>
      <c r="C100" s="18" t="s">
        <v>301</v>
      </c>
      <c r="D100" s="20" t="s">
        <v>455</v>
      </c>
      <c r="F100" s="27">
        <v>82</v>
      </c>
      <c r="M100" s="42"/>
      <c r="N100" s="5"/>
    </row>
    <row r="101" spans="1:14" ht="12.75">
      <c r="A101" s="5"/>
      <c r="C101" s="18" t="s">
        <v>302</v>
      </c>
      <c r="D101" s="20" t="s">
        <v>456</v>
      </c>
      <c r="F101" s="27">
        <v>27</v>
      </c>
      <c r="M101" s="42"/>
      <c r="N101" s="5"/>
    </row>
    <row r="102" spans="1:14" ht="12.75">
      <c r="A102" s="5"/>
      <c r="C102" s="18" t="s">
        <v>303</v>
      </c>
      <c r="D102" s="20" t="s">
        <v>462</v>
      </c>
      <c r="F102" s="27">
        <v>12</v>
      </c>
      <c r="M102" s="42"/>
      <c r="N102" s="5"/>
    </row>
    <row r="103" spans="1:14" ht="12.75">
      <c r="A103" s="5"/>
      <c r="C103" s="18" t="s">
        <v>304</v>
      </c>
      <c r="D103" s="20" t="s">
        <v>457</v>
      </c>
      <c r="F103" s="27">
        <v>12</v>
      </c>
      <c r="M103" s="42"/>
      <c r="N103" s="5"/>
    </row>
    <row r="104" spans="1:14" ht="12.75">
      <c r="A104" s="5"/>
      <c r="C104" s="18" t="s">
        <v>8</v>
      </c>
      <c r="D104" s="20" t="s">
        <v>464</v>
      </c>
      <c r="F104" s="27">
        <v>2</v>
      </c>
      <c r="M104" s="42"/>
      <c r="N104" s="5"/>
    </row>
    <row r="105" spans="1:14" ht="12.75">
      <c r="A105" s="5"/>
      <c r="C105" s="18" t="s">
        <v>8</v>
      </c>
      <c r="D105" s="20" t="s">
        <v>465</v>
      </c>
      <c r="F105" s="27">
        <v>2</v>
      </c>
      <c r="M105" s="42"/>
      <c r="N105" s="5"/>
    </row>
    <row r="106" spans="1:64" ht="12.75">
      <c r="A106" s="4" t="s">
        <v>42</v>
      </c>
      <c r="B106" s="14" t="s">
        <v>160</v>
      </c>
      <c r="C106" s="244" t="s">
        <v>315</v>
      </c>
      <c r="D106" s="245"/>
      <c r="E106" s="14" t="s">
        <v>506</v>
      </c>
      <c r="F106" s="26">
        <v>1</v>
      </c>
      <c r="G106" s="155">
        <v>0</v>
      </c>
      <c r="H106" s="26">
        <f>F106*AO106</f>
        <v>0</v>
      </c>
      <c r="I106" s="26">
        <f>F106*AP106</f>
        <v>0</v>
      </c>
      <c r="J106" s="26">
        <f>F106*G106</f>
        <v>0</v>
      </c>
      <c r="K106" s="26">
        <v>0.00025</v>
      </c>
      <c r="L106" s="26">
        <f>F106*K106</f>
        <v>0.00025</v>
      </c>
      <c r="M106" s="41" t="s">
        <v>683</v>
      </c>
      <c r="N106" s="5"/>
      <c r="Z106" s="47">
        <f>IF(AQ106="5",BJ106,0)</f>
        <v>0</v>
      </c>
      <c r="AB106" s="47">
        <f>IF(AQ106="1",BH106,0)</f>
        <v>0</v>
      </c>
      <c r="AC106" s="47">
        <f>IF(AQ106="1",BI106,0)</f>
        <v>0</v>
      </c>
      <c r="AD106" s="47">
        <f>IF(AQ106="7",BH106,0)</f>
        <v>0</v>
      </c>
      <c r="AE106" s="47">
        <f>IF(AQ106="7",BI106,0)</f>
        <v>0</v>
      </c>
      <c r="AF106" s="47">
        <f>IF(AQ106="2",BH106,0)</f>
        <v>0</v>
      </c>
      <c r="AG106" s="47">
        <f>IF(AQ106="2",BI106,0)</f>
        <v>0</v>
      </c>
      <c r="AH106" s="47">
        <f>IF(AQ106="0",BJ106,0)</f>
        <v>0</v>
      </c>
      <c r="AI106" s="37"/>
      <c r="AJ106" s="26">
        <f>IF(AN106=0,J106,0)</f>
        <v>0</v>
      </c>
      <c r="AK106" s="26">
        <f>IF(AN106=15,J106,0)</f>
        <v>0</v>
      </c>
      <c r="AL106" s="26">
        <f>IF(AN106=21,J106,0)</f>
        <v>0</v>
      </c>
      <c r="AN106" s="47">
        <v>21</v>
      </c>
      <c r="AO106" s="47">
        <f>G106*0.679565217391304</f>
        <v>0</v>
      </c>
      <c r="AP106" s="47">
        <f>G106*(1-0.679565217391304)</f>
        <v>0</v>
      </c>
      <c r="AQ106" s="48" t="s">
        <v>13</v>
      </c>
      <c r="AV106" s="47">
        <f>AW106+AX106</f>
        <v>0</v>
      </c>
      <c r="AW106" s="47">
        <f>F106*AO106</f>
        <v>0</v>
      </c>
      <c r="AX106" s="47">
        <f>F106*AP106</f>
        <v>0</v>
      </c>
      <c r="AY106" s="50" t="s">
        <v>547</v>
      </c>
      <c r="AZ106" s="50" t="s">
        <v>565</v>
      </c>
      <c r="BA106" s="37" t="s">
        <v>571</v>
      </c>
      <c r="BC106" s="47">
        <f>AW106+AX106</f>
        <v>0</v>
      </c>
      <c r="BD106" s="47">
        <f>G106/(100-BE106)*100</f>
        <v>0</v>
      </c>
      <c r="BE106" s="47">
        <v>0</v>
      </c>
      <c r="BF106" s="47">
        <f>L106</f>
        <v>0.00025</v>
      </c>
      <c r="BH106" s="26">
        <f>F106*AO106</f>
        <v>0</v>
      </c>
      <c r="BI106" s="26">
        <f>F106*AP106</f>
        <v>0</v>
      </c>
      <c r="BJ106" s="26">
        <f>F106*G106</f>
        <v>0</v>
      </c>
      <c r="BK106" s="26" t="s">
        <v>576</v>
      </c>
      <c r="BL106" s="47">
        <v>722</v>
      </c>
    </row>
    <row r="107" spans="1:14" ht="12.75">
      <c r="A107" s="5"/>
      <c r="C107" s="18" t="s">
        <v>7</v>
      </c>
      <c r="D107" s="20" t="s">
        <v>461</v>
      </c>
      <c r="F107" s="27">
        <v>1</v>
      </c>
      <c r="M107" s="42"/>
      <c r="N107" s="5"/>
    </row>
    <row r="108" spans="1:64" ht="12.75">
      <c r="A108" s="4" t="s">
        <v>43</v>
      </c>
      <c r="B108" s="14" t="s">
        <v>145</v>
      </c>
      <c r="C108" s="244" t="s">
        <v>316</v>
      </c>
      <c r="D108" s="245"/>
      <c r="E108" s="14" t="s">
        <v>508</v>
      </c>
      <c r="F108" s="26">
        <v>89.4</v>
      </c>
      <c r="G108" s="155">
        <v>0</v>
      </c>
      <c r="H108" s="26">
        <f>F108*AO108</f>
        <v>0</v>
      </c>
      <c r="I108" s="26">
        <f>F108*AP108</f>
        <v>0</v>
      </c>
      <c r="J108" s="26">
        <f>F108*G108</f>
        <v>0</v>
      </c>
      <c r="K108" s="26">
        <v>0.00401</v>
      </c>
      <c r="L108" s="26">
        <f>F108*K108</f>
        <v>0.358494</v>
      </c>
      <c r="M108" s="41" t="s">
        <v>683</v>
      </c>
      <c r="N108" s="5"/>
      <c r="Z108" s="47">
        <f>IF(AQ108="5",BJ108,0)</f>
        <v>0</v>
      </c>
      <c r="AB108" s="47">
        <f>IF(AQ108="1",BH108,0)</f>
        <v>0</v>
      </c>
      <c r="AC108" s="47">
        <f>IF(AQ108="1",BI108,0)</f>
        <v>0</v>
      </c>
      <c r="AD108" s="47">
        <f>IF(AQ108="7",BH108,0)</f>
        <v>0</v>
      </c>
      <c r="AE108" s="47">
        <f>IF(AQ108="7",BI108,0)</f>
        <v>0</v>
      </c>
      <c r="AF108" s="47">
        <f>IF(AQ108="2",BH108,0)</f>
        <v>0</v>
      </c>
      <c r="AG108" s="47">
        <f>IF(AQ108="2",BI108,0)</f>
        <v>0</v>
      </c>
      <c r="AH108" s="47">
        <f>IF(AQ108="0",BJ108,0)</f>
        <v>0</v>
      </c>
      <c r="AI108" s="37"/>
      <c r="AJ108" s="26">
        <f>IF(AN108=0,J108,0)</f>
        <v>0</v>
      </c>
      <c r="AK108" s="26">
        <f>IF(AN108=15,J108,0)</f>
        <v>0</v>
      </c>
      <c r="AL108" s="26">
        <f>IF(AN108=21,J108,0)</f>
        <v>0</v>
      </c>
      <c r="AN108" s="47">
        <v>21</v>
      </c>
      <c r="AO108" s="47">
        <f>G108*0.22939198720691</f>
        <v>0</v>
      </c>
      <c r="AP108" s="47">
        <f>G108*(1-0.22939198720691)</f>
        <v>0</v>
      </c>
      <c r="AQ108" s="48" t="s">
        <v>13</v>
      </c>
      <c r="AV108" s="47">
        <f>AW108+AX108</f>
        <v>0</v>
      </c>
      <c r="AW108" s="47">
        <f>F108*AO108</f>
        <v>0</v>
      </c>
      <c r="AX108" s="47">
        <f>F108*AP108</f>
        <v>0</v>
      </c>
      <c r="AY108" s="50" t="s">
        <v>547</v>
      </c>
      <c r="AZ108" s="50" t="s">
        <v>565</v>
      </c>
      <c r="BA108" s="37" t="s">
        <v>571</v>
      </c>
      <c r="BC108" s="47">
        <f>AW108+AX108</f>
        <v>0</v>
      </c>
      <c r="BD108" s="47">
        <f>G108/(100-BE108)*100</f>
        <v>0</v>
      </c>
      <c r="BE108" s="47">
        <v>0</v>
      </c>
      <c r="BF108" s="47">
        <f>L108</f>
        <v>0.358494</v>
      </c>
      <c r="BH108" s="26">
        <f>F108*AO108</f>
        <v>0</v>
      </c>
      <c r="BI108" s="26">
        <f>F108*AP108</f>
        <v>0</v>
      </c>
      <c r="BJ108" s="26">
        <f>F108*G108</f>
        <v>0</v>
      </c>
      <c r="BK108" s="26" t="s">
        <v>576</v>
      </c>
      <c r="BL108" s="47">
        <v>722</v>
      </c>
    </row>
    <row r="109" spans="1:14" ht="12.75">
      <c r="A109" s="5"/>
      <c r="C109" s="18" t="s">
        <v>317</v>
      </c>
      <c r="D109" s="20" t="s">
        <v>461</v>
      </c>
      <c r="F109" s="27">
        <v>10.6</v>
      </c>
      <c r="M109" s="42"/>
      <c r="N109" s="5"/>
    </row>
    <row r="110" spans="1:14" ht="12.75">
      <c r="A110" s="5"/>
      <c r="C110" s="18" t="s">
        <v>318</v>
      </c>
      <c r="D110" s="20" t="s">
        <v>458</v>
      </c>
      <c r="F110" s="27">
        <v>16.6</v>
      </c>
      <c r="M110" s="42"/>
      <c r="N110" s="5"/>
    </row>
    <row r="111" spans="1:14" ht="12.75">
      <c r="A111" s="5"/>
      <c r="C111" s="18" t="s">
        <v>319</v>
      </c>
      <c r="D111" s="20" t="s">
        <v>459</v>
      </c>
      <c r="F111" s="27">
        <v>18.2</v>
      </c>
      <c r="M111" s="42"/>
      <c r="N111" s="5"/>
    </row>
    <row r="112" spans="1:14" ht="12.75">
      <c r="A112" s="5"/>
      <c r="C112" s="18" t="s">
        <v>320</v>
      </c>
      <c r="D112" s="20" t="s">
        <v>460</v>
      </c>
      <c r="F112" s="27">
        <v>12</v>
      </c>
      <c r="M112" s="42"/>
      <c r="N112" s="5"/>
    </row>
    <row r="113" spans="1:14" ht="12.75">
      <c r="A113" s="5"/>
      <c r="C113" s="18" t="s">
        <v>321</v>
      </c>
      <c r="D113" s="20" t="s">
        <v>470</v>
      </c>
      <c r="F113" s="27">
        <v>32</v>
      </c>
      <c r="M113" s="42"/>
      <c r="N113" s="5"/>
    </row>
    <row r="114" spans="1:64" ht="12.75">
      <c r="A114" s="4" t="s">
        <v>44</v>
      </c>
      <c r="B114" s="14" t="s">
        <v>161</v>
      </c>
      <c r="C114" s="244" t="s">
        <v>322</v>
      </c>
      <c r="D114" s="245"/>
      <c r="E114" s="14" t="s">
        <v>508</v>
      </c>
      <c r="F114" s="26">
        <v>213.9</v>
      </c>
      <c r="G114" s="155">
        <v>0</v>
      </c>
      <c r="H114" s="26">
        <f>F114*AO114</f>
        <v>0</v>
      </c>
      <c r="I114" s="26">
        <f>F114*AP114</f>
        <v>0</v>
      </c>
      <c r="J114" s="26">
        <f>F114*G114</f>
        <v>0</v>
      </c>
      <c r="K114" s="26">
        <v>0.00028</v>
      </c>
      <c r="L114" s="26">
        <f>F114*K114</f>
        <v>0.059891999999999994</v>
      </c>
      <c r="M114" s="41" t="s">
        <v>683</v>
      </c>
      <c r="N114" s="5"/>
      <c r="Z114" s="47">
        <f>IF(AQ114="5",BJ114,0)</f>
        <v>0</v>
      </c>
      <c r="AB114" s="47">
        <f>IF(AQ114="1",BH114,0)</f>
        <v>0</v>
      </c>
      <c r="AC114" s="47">
        <f>IF(AQ114="1",BI114,0)</f>
        <v>0</v>
      </c>
      <c r="AD114" s="47">
        <f>IF(AQ114="7",BH114,0)</f>
        <v>0</v>
      </c>
      <c r="AE114" s="47">
        <f>IF(AQ114="7",BI114,0)</f>
        <v>0</v>
      </c>
      <c r="AF114" s="47">
        <f>IF(AQ114="2",BH114,0)</f>
        <v>0</v>
      </c>
      <c r="AG114" s="47">
        <f>IF(AQ114="2",BI114,0)</f>
        <v>0</v>
      </c>
      <c r="AH114" s="47">
        <f>IF(AQ114="0",BJ114,0)</f>
        <v>0</v>
      </c>
      <c r="AI114" s="37"/>
      <c r="AJ114" s="26">
        <f>IF(AN114=0,J114,0)</f>
        <v>0</v>
      </c>
      <c r="AK114" s="26">
        <f>IF(AN114=15,J114,0)</f>
        <v>0</v>
      </c>
      <c r="AL114" s="26">
        <f>IF(AN114=21,J114,0)</f>
        <v>0</v>
      </c>
      <c r="AN114" s="47">
        <v>21</v>
      </c>
      <c r="AO114" s="47">
        <f>G114*0</f>
        <v>0</v>
      </c>
      <c r="AP114" s="47">
        <f>G114*(1-0)</f>
        <v>0</v>
      </c>
      <c r="AQ114" s="48" t="s">
        <v>13</v>
      </c>
      <c r="AV114" s="47">
        <f>AW114+AX114</f>
        <v>0</v>
      </c>
      <c r="AW114" s="47">
        <f>F114*AO114</f>
        <v>0</v>
      </c>
      <c r="AX114" s="47">
        <f>F114*AP114</f>
        <v>0</v>
      </c>
      <c r="AY114" s="50" t="s">
        <v>547</v>
      </c>
      <c r="AZ114" s="50" t="s">
        <v>565</v>
      </c>
      <c r="BA114" s="37" t="s">
        <v>571</v>
      </c>
      <c r="BC114" s="47">
        <f>AW114+AX114</f>
        <v>0</v>
      </c>
      <c r="BD114" s="47">
        <f>G114/(100-BE114)*100</f>
        <v>0</v>
      </c>
      <c r="BE114" s="47">
        <v>0</v>
      </c>
      <c r="BF114" s="47">
        <f>L114</f>
        <v>0.059891999999999994</v>
      </c>
      <c r="BH114" s="26">
        <f>F114*AO114</f>
        <v>0</v>
      </c>
      <c r="BI114" s="26">
        <f>F114*AP114</f>
        <v>0</v>
      </c>
      <c r="BJ114" s="26">
        <f>F114*G114</f>
        <v>0</v>
      </c>
      <c r="BK114" s="26" t="s">
        <v>576</v>
      </c>
      <c r="BL114" s="47">
        <v>722</v>
      </c>
    </row>
    <row r="115" spans="1:14" ht="12.75">
      <c r="A115" s="5"/>
      <c r="C115" s="18" t="s">
        <v>323</v>
      </c>
      <c r="D115" s="20" t="s">
        <v>471</v>
      </c>
      <c r="F115" s="27">
        <v>213.9</v>
      </c>
      <c r="M115" s="42"/>
      <c r="N115" s="5"/>
    </row>
    <row r="116" spans="1:64" ht="12.75">
      <c r="A116" s="4" t="s">
        <v>45</v>
      </c>
      <c r="B116" s="14" t="s">
        <v>162</v>
      </c>
      <c r="C116" s="244" t="s">
        <v>324</v>
      </c>
      <c r="D116" s="245"/>
      <c r="E116" s="14" t="s">
        <v>508</v>
      </c>
      <c r="F116" s="26">
        <v>20.8</v>
      </c>
      <c r="G116" s="155">
        <v>0</v>
      </c>
      <c r="H116" s="26">
        <f>F116*AO116</f>
        <v>0</v>
      </c>
      <c r="I116" s="26">
        <f>F116*AP116</f>
        <v>0</v>
      </c>
      <c r="J116" s="26">
        <f>F116*G116</f>
        <v>0</v>
      </c>
      <c r="K116" s="26">
        <v>0.0067</v>
      </c>
      <c r="L116" s="26">
        <f>F116*K116</f>
        <v>0.13936</v>
      </c>
      <c r="M116" s="41" t="s">
        <v>683</v>
      </c>
      <c r="N116" s="5"/>
      <c r="Z116" s="47">
        <f>IF(AQ116="5",BJ116,0)</f>
        <v>0</v>
      </c>
      <c r="AB116" s="47">
        <f>IF(AQ116="1",BH116,0)</f>
        <v>0</v>
      </c>
      <c r="AC116" s="47">
        <f>IF(AQ116="1",BI116,0)</f>
        <v>0</v>
      </c>
      <c r="AD116" s="47">
        <f>IF(AQ116="7",BH116,0)</f>
        <v>0</v>
      </c>
      <c r="AE116" s="47">
        <f>IF(AQ116="7",BI116,0)</f>
        <v>0</v>
      </c>
      <c r="AF116" s="47">
        <f>IF(AQ116="2",BH116,0)</f>
        <v>0</v>
      </c>
      <c r="AG116" s="47">
        <f>IF(AQ116="2",BI116,0)</f>
        <v>0</v>
      </c>
      <c r="AH116" s="47">
        <f>IF(AQ116="0",BJ116,0)</f>
        <v>0</v>
      </c>
      <c r="AI116" s="37"/>
      <c r="AJ116" s="26">
        <f>IF(AN116=0,J116,0)</f>
        <v>0</v>
      </c>
      <c r="AK116" s="26">
        <f>IF(AN116=15,J116,0)</f>
        <v>0</v>
      </c>
      <c r="AL116" s="26">
        <f>IF(AN116=21,J116,0)</f>
        <v>0</v>
      </c>
      <c r="AN116" s="47">
        <v>21</v>
      </c>
      <c r="AO116" s="47">
        <f>G116*0</f>
        <v>0</v>
      </c>
      <c r="AP116" s="47">
        <f>G116*(1-0)</f>
        <v>0</v>
      </c>
      <c r="AQ116" s="48" t="s">
        <v>13</v>
      </c>
      <c r="AV116" s="47">
        <f>AW116+AX116</f>
        <v>0</v>
      </c>
      <c r="AW116" s="47">
        <f>F116*AO116</f>
        <v>0</v>
      </c>
      <c r="AX116" s="47">
        <f>F116*AP116</f>
        <v>0</v>
      </c>
      <c r="AY116" s="50" t="s">
        <v>547</v>
      </c>
      <c r="AZ116" s="50" t="s">
        <v>565</v>
      </c>
      <c r="BA116" s="37" t="s">
        <v>571</v>
      </c>
      <c r="BC116" s="47">
        <f>AW116+AX116</f>
        <v>0</v>
      </c>
      <c r="BD116" s="47">
        <f>G116/(100-BE116)*100</f>
        <v>0</v>
      </c>
      <c r="BE116" s="47">
        <v>0</v>
      </c>
      <c r="BF116" s="47">
        <f>L116</f>
        <v>0.13936</v>
      </c>
      <c r="BH116" s="26">
        <f>F116*AO116</f>
        <v>0</v>
      </c>
      <c r="BI116" s="26">
        <f>F116*AP116</f>
        <v>0</v>
      </c>
      <c r="BJ116" s="26">
        <f>F116*G116</f>
        <v>0</v>
      </c>
      <c r="BK116" s="26" t="s">
        <v>576</v>
      </c>
      <c r="BL116" s="47">
        <v>722</v>
      </c>
    </row>
    <row r="117" spans="1:14" ht="12.75">
      <c r="A117" s="5"/>
      <c r="C117" s="18" t="s">
        <v>325</v>
      </c>
      <c r="D117" s="20" t="s">
        <v>461</v>
      </c>
      <c r="F117" s="27">
        <v>4.8</v>
      </c>
      <c r="M117" s="42"/>
      <c r="N117" s="5"/>
    </row>
    <row r="118" spans="1:14" ht="12.75">
      <c r="A118" s="5"/>
      <c r="C118" s="18" t="s">
        <v>326</v>
      </c>
      <c r="D118" s="20" t="s">
        <v>472</v>
      </c>
      <c r="F118" s="27">
        <v>16</v>
      </c>
      <c r="M118" s="42"/>
      <c r="N118" s="5"/>
    </row>
    <row r="119" spans="1:64" ht="12.75">
      <c r="A119" s="4" t="s">
        <v>46</v>
      </c>
      <c r="B119" s="14" t="s">
        <v>163</v>
      </c>
      <c r="C119" s="244" t="s">
        <v>327</v>
      </c>
      <c r="D119" s="245"/>
      <c r="E119" s="14" t="s">
        <v>508</v>
      </c>
      <c r="F119" s="26">
        <v>38</v>
      </c>
      <c r="G119" s="155">
        <v>0</v>
      </c>
      <c r="H119" s="26">
        <f>F119*AO119</f>
        <v>0</v>
      </c>
      <c r="I119" s="26">
        <f>F119*AP119</f>
        <v>0</v>
      </c>
      <c r="J119" s="26">
        <f>F119*G119</f>
        <v>0</v>
      </c>
      <c r="K119" s="26">
        <v>0.00959</v>
      </c>
      <c r="L119" s="26">
        <f>F119*K119</f>
        <v>0.36441999999999997</v>
      </c>
      <c r="M119" s="41" t="s">
        <v>683</v>
      </c>
      <c r="N119" s="5"/>
      <c r="Z119" s="47">
        <f>IF(AQ119="5",BJ119,0)</f>
        <v>0</v>
      </c>
      <c r="AB119" s="47">
        <f>IF(AQ119="1",BH119,0)</f>
        <v>0</v>
      </c>
      <c r="AC119" s="47">
        <f>IF(AQ119="1",BI119,0)</f>
        <v>0</v>
      </c>
      <c r="AD119" s="47">
        <f>IF(AQ119="7",BH119,0)</f>
        <v>0</v>
      </c>
      <c r="AE119" s="47">
        <f>IF(AQ119="7",BI119,0)</f>
        <v>0</v>
      </c>
      <c r="AF119" s="47">
        <f>IF(AQ119="2",BH119,0)</f>
        <v>0</v>
      </c>
      <c r="AG119" s="47">
        <f>IF(AQ119="2",BI119,0)</f>
        <v>0</v>
      </c>
      <c r="AH119" s="47">
        <f>IF(AQ119="0",BJ119,0)</f>
        <v>0</v>
      </c>
      <c r="AI119" s="37"/>
      <c r="AJ119" s="26">
        <f>IF(AN119=0,J119,0)</f>
        <v>0</v>
      </c>
      <c r="AK119" s="26">
        <f>IF(AN119=15,J119,0)</f>
        <v>0</v>
      </c>
      <c r="AL119" s="26">
        <f>IF(AN119=21,J119,0)</f>
        <v>0</v>
      </c>
      <c r="AN119" s="47">
        <v>21</v>
      </c>
      <c r="AO119" s="47">
        <f>G119*0</f>
        <v>0</v>
      </c>
      <c r="AP119" s="47">
        <f>G119*(1-0)</f>
        <v>0</v>
      </c>
      <c r="AQ119" s="48" t="s">
        <v>13</v>
      </c>
      <c r="AV119" s="47">
        <f>AW119+AX119</f>
        <v>0</v>
      </c>
      <c r="AW119" s="47">
        <f>F119*AO119</f>
        <v>0</v>
      </c>
      <c r="AX119" s="47">
        <f>F119*AP119</f>
        <v>0</v>
      </c>
      <c r="AY119" s="50" t="s">
        <v>547</v>
      </c>
      <c r="AZ119" s="50" t="s">
        <v>565</v>
      </c>
      <c r="BA119" s="37" t="s">
        <v>571</v>
      </c>
      <c r="BC119" s="47">
        <f>AW119+AX119</f>
        <v>0</v>
      </c>
      <c r="BD119" s="47">
        <f>G119/(100-BE119)*100</f>
        <v>0</v>
      </c>
      <c r="BE119" s="47">
        <v>0</v>
      </c>
      <c r="BF119" s="47">
        <f>L119</f>
        <v>0.36441999999999997</v>
      </c>
      <c r="BH119" s="26">
        <f>F119*AO119</f>
        <v>0</v>
      </c>
      <c r="BI119" s="26">
        <f>F119*AP119</f>
        <v>0</v>
      </c>
      <c r="BJ119" s="26">
        <f>F119*G119</f>
        <v>0</v>
      </c>
      <c r="BK119" s="26" t="s">
        <v>576</v>
      </c>
      <c r="BL119" s="47">
        <v>722</v>
      </c>
    </row>
    <row r="120" spans="1:14" ht="12.75">
      <c r="A120" s="5"/>
      <c r="C120" s="18" t="s">
        <v>44</v>
      </c>
      <c r="D120" s="20" t="s">
        <v>461</v>
      </c>
      <c r="F120" s="27">
        <v>38</v>
      </c>
      <c r="M120" s="42"/>
      <c r="N120" s="5"/>
    </row>
    <row r="121" spans="1:64" ht="12.75">
      <c r="A121" s="4" t="s">
        <v>47</v>
      </c>
      <c r="B121" s="14" t="s">
        <v>164</v>
      </c>
      <c r="C121" s="244" t="s">
        <v>328</v>
      </c>
      <c r="D121" s="245"/>
      <c r="E121" s="14" t="s">
        <v>506</v>
      </c>
      <c r="F121" s="26">
        <v>2</v>
      </c>
      <c r="G121" s="155">
        <v>0</v>
      </c>
      <c r="H121" s="26">
        <f>F121*AO121</f>
        <v>0</v>
      </c>
      <c r="I121" s="26">
        <f>F121*AP121</f>
        <v>0</v>
      </c>
      <c r="J121" s="26">
        <f>F121*G121</f>
        <v>0</v>
      </c>
      <c r="K121" s="26">
        <v>0.00061</v>
      </c>
      <c r="L121" s="26">
        <f>F121*K121</f>
        <v>0.00122</v>
      </c>
      <c r="M121" s="41" t="s">
        <v>683</v>
      </c>
      <c r="N121" s="5"/>
      <c r="Z121" s="47">
        <f>IF(AQ121="5",BJ121,0)</f>
        <v>0</v>
      </c>
      <c r="AB121" s="47">
        <f>IF(AQ121="1",BH121,0)</f>
        <v>0</v>
      </c>
      <c r="AC121" s="47">
        <f>IF(AQ121="1",BI121,0)</f>
        <v>0</v>
      </c>
      <c r="AD121" s="47">
        <f>IF(AQ121="7",BH121,0)</f>
        <v>0</v>
      </c>
      <c r="AE121" s="47">
        <f>IF(AQ121="7",BI121,0)</f>
        <v>0</v>
      </c>
      <c r="AF121" s="47">
        <f>IF(AQ121="2",BH121,0)</f>
        <v>0</v>
      </c>
      <c r="AG121" s="47">
        <f>IF(AQ121="2",BI121,0)</f>
        <v>0</v>
      </c>
      <c r="AH121" s="47">
        <f>IF(AQ121="0",BJ121,0)</f>
        <v>0</v>
      </c>
      <c r="AI121" s="37"/>
      <c r="AJ121" s="26">
        <f>IF(AN121=0,J121,0)</f>
        <v>0</v>
      </c>
      <c r="AK121" s="26">
        <f>IF(AN121=15,J121,0)</f>
        <v>0</v>
      </c>
      <c r="AL121" s="26">
        <f>IF(AN121=21,J121,0)</f>
        <v>0</v>
      </c>
      <c r="AN121" s="47">
        <v>21</v>
      </c>
      <c r="AO121" s="47">
        <f>G121*0.842435362802335</f>
        <v>0</v>
      </c>
      <c r="AP121" s="47">
        <f>G121*(1-0.842435362802335)</f>
        <v>0</v>
      </c>
      <c r="AQ121" s="48" t="s">
        <v>13</v>
      </c>
      <c r="AV121" s="47">
        <f>AW121+AX121</f>
        <v>0</v>
      </c>
      <c r="AW121" s="47">
        <f>F121*AO121</f>
        <v>0</v>
      </c>
      <c r="AX121" s="47">
        <f>F121*AP121</f>
        <v>0</v>
      </c>
      <c r="AY121" s="50" t="s">
        <v>547</v>
      </c>
      <c r="AZ121" s="50" t="s">
        <v>565</v>
      </c>
      <c r="BA121" s="37" t="s">
        <v>571</v>
      </c>
      <c r="BC121" s="47">
        <f>AW121+AX121</f>
        <v>0</v>
      </c>
      <c r="BD121" s="47">
        <f>G121/(100-BE121)*100</f>
        <v>0</v>
      </c>
      <c r="BE121" s="47">
        <v>0</v>
      </c>
      <c r="BF121" s="47">
        <f>L121</f>
        <v>0.00122</v>
      </c>
      <c r="BH121" s="26">
        <f>F121*AO121</f>
        <v>0</v>
      </c>
      <c r="BI121" s="26">
        <f>F121*AP121</f>
        <v>0</v>
      </c>
      <c r="BJ121" s="26">
        <f>F121*G121</f>
        <v>0</v>
      </c>
      <c r="BK121" s="26" t="s">
        <v>576</v>
      </c>
      <c r="BL121" s="47">
        <v>722</v>
      </c>
    </row>
    <row r="122" spans="1:14" ht="12.75">
      <c r="A122" s="5"/>
      <c r="C122" s="18" t="s">
        <v>8</v>
      </c>
      <c r="D122" s="20" t="s">
        <v>461</v>
      </c>
      <c r="F122" s="27">
        <v>2</v>
      </c>
      <c r="M122" s="42"/>
      <c r="N122" s="5"/>
    </row>
    <row r="123" spans="1:64" ht="12.75">
      <c r="A123" s="4" t="s">
        <v>48</v>
      </c>
      <c r="B123" s="14" t="s">
        <v>165</v>
      </c>
      <c r="C123" s="244" t="s">
        <v>329</v>
      </c>
      <c r="D123" s="245"/>
      <c r="E123" s="14" t="s">
        <v>506</v>
      </c>
      <c r="F123" s="26">
        <v>1</v>
      </c>
      <c r="G123" s="155">
        <v>0</v>
      </c>
      <c r="H123" s="26">
        <f>F123*AO123</f>
        <v>0</v>
      </c>
      <c r="I123" s="26">
        <f>F123*AP123</f>
        <v>0</v>
      </c>
      <c r="J123" s="26">
        <f>F123*G123</f>
        <v>0</v>
      </c>
      <c r="K123" s="26">
        <v>0.00097</v>
      </c>
      <c r="L123" s="26">
        <f>F123*K123</f>
        <v>0.00097</v>
      </c>
      <c r="M123" s="41" t="s">
        <v>683</v>
      </c>
      <c r="N123" s="5"/>
      <c r="Z123" s="47">
        <f>IF(AQ123="5",BJ123,0)</f>
        <v>0</v>
      </c>
      <c r="AB123" s="47">
        <f>IF(AQ123="1",BH123,0)</f>
        <v>0</v>
      </c>
      <c r="AC123" s="47">
        <f>IF(AQ123="1",BI123,0)</f>
        <v>0</v>
      </c>
      <c r="AD123" s="47">
        <f>IF(AQ123="7",BH123,0)</f>
        <v>0</v>
      </c>
      <c r="AE123" s="47">
        <f>IF(AQ123="7",BI123,0)</f>
        <v>0</v>
      </c>
      <c r="AF123" s="47">
        <f>IF(AQ123="2",BH123,0)</f>
        <v>0</v>
      </c>
      <c r="AG123" s="47">
        <f>IF(AQ123="2",BI123,0)</f>
        <v>0</v>
      </c>
      <c r="AH123" s="47">
        <f>IF(AQ123="0",BJ123,0)</f>
        <v>0</v>
      </c>
      <c r="AI123" s="37"/>
      <c r="AJ123" s="26">
        <f>IF(AN123=0,J123,0)</f>
        <v>0</v>
      </c>
      <c r="AK123" s="26">
        <f>IF(AN123=15,J123,0)</f>
        <v>0</v>
      </c>
      <c r="AL123" s="26">
        <f>IF(AN123=21,J123,0)</f>
        <v>0</v>
      </c>
      <c r="AN123" s="47">
        <v>21</v>
      </c>
      <c r="AO123" s="47">
        <f>G123*0.861008089607965</f>
        <v>0</v>
      </c>
      <c r="AP123" s="47">
        <f>G123*(1-0.861008089607965)</f>
        <v>0</v>
      </c>
      <c r="AQ123" s="48" t="s">
        <v>13</v>
      </c>
      <c r="AV123" s="47">
        <f>AW123+AX123</f>
        <v>0</v>
      </c>
      <c r="AW123" s="47">
        <f>F123*AO123</f>
        <v>0</v>
      </c>
      <c r="AX123" s="47">
        <f>F123*AP123</f>
        <v>0</v>
      </c>
      <c r="AY123" s="50" t="s">
        <v>547</v>
      </c>
      <c r="AZ123" s="50" t="s">
        <v>565</v>
      </c>
      <c r="BA123" s="37" t="s">
        <v>571</v>
      </c>
      <c r="BC123" s="47">
        <f>AW123+AX123</f>
        <v>0</v>
      </c>
      <c r="BD123" s="47">
        <f>G123/(100-BE123)*100</f>
        <v>0</v>
      </c>
      <c r="BE123" s="47">
        <v>0</v>
      </c>
      <c r="BF123" s="47">
        <f>L123</f>
        <v>0.00097</v>
      </c>
      <c r="BH123" s="26">
        <f>F123*AO123</f>
        <v>0</v>
      </c>
      <c r="BI123" s="26">
        <f>F123*AP123</f>
        <v>0</v>
      </c>
      <c r="BJ123" s="26">
        <f>F123*G123</f>
        <v>0</v>
      </c>
      <c r="BK123" s="26" t="s">
        <v>576</v>
      </c>
      <c r="BL123" s="47">
        <v>722</v>
      </c>
    </row>
    <row r="124" spans="1:14" ht="12.75">
      <c r="A124" s="5"/>
      <c r="C124" s="18" t="s">
        <v>7</v>
      </c>
      <c r="D124" s="20" t="s">
        <v>461</v>
      </c>
      <c r="F124" s="27">
        <v>1</v>
      </c>
      <c r="M124" s="42"/>
      <c r="N124" s="5"/>
    </row>
    <row r="125" spans="1:64" ht="12.75">
      <c r="A125" s="4" t="s">
        <v>49</v>
      </c>
      <c r="B125" s="14" t="s">
        <v>166</v>
      </c>
      <c r="C125" s="244" t="s">
        <v>330</v>
      </c>
      <c r="D125" s="245"/>
      <c r="E125" s="14" t="s">
        <v>506</v>
      </c>
      <c r="F125" s="26">
        <v>16</v>
      </c>
      <c r="G125" s="155">
        <v>0</v>
      </c>
      <c r="H125" s="26">
        <f>F125*AO125</f>
        <v>0</v>
      </c>
      <c r="I125" s="26">
        <f>F125*AP125</f>
        <v>0</v>
      </c>
      <c r="J125" s="26">
        <f>F125*G125</f>
        <v>0</v>
      </c>
      <c r="K125" s="26">
        <v>0.00025</v>
      </c>
      <c r="L125" s="26">
        <f>F125*K125</f>
        <v>0.004</v>
      </c>
      <c r="M125" s="41" t="s">
        <v>683</v>
      </c>
      <c r="N125" s="5"/>
      <c r="Z125" s="47">
        <f>IF(AQ125="5",BJ125,0)</f>
        <v>0</v>
      </c>
      <c r="AB125" s="47">
        <f>IF(AQ125="1",BH125,0)</f>
        <v>0</v>
      </c>
      <c r="AC125" s="47">
        <f>IF(AQ125="1",BI125,0)</f>
        <v>0</v>
      </c>
      <c r="AD125" s="47">
        <f>IF(AQ125="7",BH125,0)</f>
        <v>0</v>
      </c>
      <c r="AE125" s="47">
        <f>IF(AQ125="7",BI125,0)</f>
        <v>0</v>
      </c>
      <c r="AF125" s="47">
        <f>IF(AQ125="2",BH125,0)</f>
        <v>0</v>
      </c>
      <c r="AG125" s="47">
        <f>IF(AQ125="2",BI125,0)</f>
        <v>0</v>
      </c>
      <c r="AH125" s="47">
        <f>IF(AQ125="0",BJ125,0)</f>
        <v>0</v>
      </c>
      <c r="AI125" s="37"/>
      <c r="AJ125" s="26">
        <f>IF(AN125=0,J125,0)</f>
        <v>0</v>
      </c>
      <c r="AK125" s="26">
        <f>IF(AN125=15,J125,0)</f>
        <v>0</v>
      </c>
      <c r="AL125" s="26">
        <f>IF(AN125=21,J125,0)</f>
        <v>0</v>
      </c>
      <c r="AN125" s="47">
        <v>21</v>
      </c>
      <c r="AO125" s="47">
        <f>G125*0.793715012722646</f>
        <v>0</v>
      </c>
      <c r="AP125" s="47">
        <f>G125*(1-0.793715012722646)</f>
        <v>0</v>
      </c>
      <c r="AQ125" s="48" t="s">
        <v>13</v>
      </c>
      <c r="AV125" s="47">
        <f>AW125+AX125</f>
        <v>0</v>
      </c>
      <c r="AW125" s="47">
        <f>F125*AO125</f>
        <v>0</v>
      </c>
      <c r="AX125" s="47">
        <f>F125*AP125</f>
        <v>0</v>
      </c>
      <c r="AY125" s="50" t="s">
        <v>547</v>
      </c>
      <c r="AZ125" s="50" t="s">
        <v>565</v>
      </c>
      <c r="BA125" s="37" t="s">
        <v>571</v>
      </c>
      <c r="BC125" s="47">
        <f>AW125+AX125</f>
        <v>0</v>
      </c>
      <c r="BD125" s="47">
        <f>G125/(100-BE125)*100</f>
        <v>0</v>
      </c>
      <c r="BE125" s="47">
        <v>0</v>
      </c>
      <c r="BF125" s="47">
        <f>L125</f>
        <v>0.004</v>
      </c>
      <c r="BH125" s="26">
        <f>F125*AO125</f>
        <v>0</v>
      </c>
      <c r="BI125" s="26">
        <f>F125*AP125</f>
        <v>0</v>
      </c>
      <c r="BJ125" s="26">
        <f>F125*G125</f>
        <v>0</v>
      </c>
      <c r="BK125" s="26" t="s">
        <v>576</v>
      </c>
      <c r="BL125" s="47">
        <v>722</v>
      </c>
    </row>
    <row r="126" spans="1:14" ht="12.75">
      <c r="A126" s="5"/>
      <c r="C126" s="18" t="s">
        <v>296</v>
      </c>
      <c r="D126" s="20" t="s">
        <v>473</v>
      </c>
      <c r="F126" s="27">
        <v>10</v>
      </c>
      <c r="M126" s="42"/>
      <c r="N126" s="5"/>
    </row>
    <row r="127" spans="1:14" ht="12.75">
      <c r="A127" s="5"/>
      <c r="C127" s="18" t="s">
        <v>9</v>
      </c>
      <c r="D127" s="20" t="s">
        <v>474</v>
      </c>
      <c r="F127" s="27">
        <v>3</v>
      </c>
      <c r="M127" s="42"/>
      <c r="N127" s="5"/>
    </row>
    <row r="128" spans="1:14" ht="12.75">
      <c r="A128" s="5"/>
      <c r="C128" s="18" t="s">
        <v>9</v>
      </c>
      <c r="D128" s="20" t="s">
        <v>475</v>
      </c>
      <c r="F128" s="27">
        <v>3</v>
      </c>
      <c r="M128" s="42"/>
      <c r="N128" s="5"/>
    </row>
    <row r="129" spans="1:64" ht="12.75">
      <c r="A129" s="4" t="s">
        <v>50</v>
      </c>
      <c r="B129" s="14" t="s">
        <v>167</v>
      </c>
      <c r="C129" s="244" t="s">
        <v>331</v>
      </c>
      <c r="D129" s="245"/>
      <c r="E129" s="14" t="s">
        <v>507</v>
      </c>
      <c r="F129" s="26">
        <v>1.17564</v>
      </c>
      <c r="G129" s="155">
        <v>0</v>
      </c>
      <c r="H129" s="26">
        <f>F129*AO129</f>
        <v>0</v>
      </c>
      <c r="I129" s="26">
        <f>F129*AP129</f>
        <v>0</v>
      </c>
      <c r="J129" s="26">
        <f>F129*G129</f>
        <v>0</v>
      </c>
      <c r="K129" s="26">
        <v>0</v>
      </c>
      <c r="L129" s="26">
        <f>F129*K129</f>
        <v>0</v>
      </c>
      <c r="M129" s="41" t="s">
        <v>683</v>
      </c>
      <c r="N129" s="5"/>
      <c r="Z129" s="47">
        <f>IF(AQ129="5",BJ129,0)</f>
        <v>0</v>
      </c>
      <c r="AB129" s="47">
        <f>IF(AQ129="1",BH129,0)</f>
        <v>0</v>
      </c>
      <c r="AC129" s="47">
        <f>IF(AQ129="1",BI129,0)</f>
        <v>0</v>
      </c>
      <c r="AD129" s="47">
        <f>IF(AQ129="7",BH129,0)</f>
        <v>0</v>
      </c>
      <c r="AE129" s="47">
        <f>IF(AQ129="7",BI129,0)</f>
        <v>0</v>
      </c>
      <c r="AF129" s="47">
        <f>IF(AQ129="2",BH129,0)</f>
        <v>0</v>
      </c>
      <c r="AG129" s="47">
        <f>IF(AQ129="2",BI129,0)</f>
        <v>0</v>
      </c>
      <c r="AH129" s="47">
        <f>IF(AQ129="0",BJ129,0)</f>
        <v>0</v>
      </c>
      <c r="AI129" s="37"/>
      <c r="AJ129" s="26">
        <f>IF(AN129=0,J129,0)</f>
        <v>0</v>
      </c>
      <c r="AK129" s="26">
        <f>IF(AN129=15,J129,0)</f>
        <v>0</v>
      </c>
      <c r="AL129" s="26">
        <f>IF(AN129=21,J129,0)</f>
        <v>0</v>
      </c>
      <c r="AN129" s="47">
        <v>21</v>
      </c>
      <c r="AO129" s="47">
        <f>G129*0</f>
        <v>0</v>
      </c>
      <c r="AP129" s="47">
        <f>G129*(1-0)</f>
        <v>0</v>
      </c>
      <c r="AQ129" s="48" t="s">
        <v>11</v>
      </c>
      <c r="AV129" s="47">
        <f>AW129+AX129</f>
        <v>0</v>
      </c>
      <c r="AW129" s="47">
        <f>F129*AO129</f>
        <v>0</v>
      </c>
      <c r="AX129" s="47">
        <f>F129*AP129</f>
        <v>0</v>
      </c>
      <c r="AY129" s="50" t="s">
        <v>547</v>
      </c>
      <c r="AZ129" s="50" t="s">
        <v>565</v>
      </c>
      <c r="BA129" s="37" t="s">
        <v>571</v>
      </c>
      <c r="BC129" s="47">
        <f>AW129+AX129</f>
        <v>0</v>
      </c>
      <c r="BD129" s="47">
        <f>G129/(100-BE129)*100</f>
        <v>0</v>
      </c>
      <c r="BE129" s="47">
        <v>0</v>
      </c>
      <c r="BF129" s="47">
        <f>L129</f>
        <v>0</v>
      </c>
      <c r="BH129" s="26">
        <f>F129*AO129</f>
        <v>0</v>
      </c>
      <c r="BI129" s="26">
        <f>F129*AP129</f>
        <v>0</v>
      </c>
      <c r="BJ129" s="26">
        <f>F129*G129</f>
        <v>0</v>
      </c>
      <c r="BK129" s="26" t="s">
        <v>576</v>
      </c>
      <c r="BL129" s="47">
        <v>722</v>
      </c>
    </row>
    <row r="130" spans="1:47" ht="12.75">
      <c r="A130" s="6"/>
      <c r="B130" s="15" t="s">
        <v>168</v>
      </c>
      <c r="C130" s="249" t="s">
        <v>332</v>
      </c>
      <c r="D130" s="250"/>
      <c r="E130" s="24" t="s">
        <v>6</v>
      </c>
      <c r="F130" s="24" t="s">
        <v>6</v>
      </c>
      <c r="G130" s="24" t="s">
        <v>6</v>
      </c>
      <c r="H130" s="53">
        <f>SUM(H131:H163)</f>
        <v>0</v>
      </c>
      <c r="I130" s="53">
        <f>SUM(I131:I163)</f>
        <v>0</v>
      </c>
      <c r="J130" s="53">
        <f>SUM(J131:J163)</f>
        <v>0</v>
      </c>
      <c r="K130" s="37"/>
      <c r="L130" s="53">
        <f>SUM(L131:L163)</f>
        <v>0.25089</v>
      </c>
      <c r="M130" s="43"/>
      <c r="N130" s="5"/>
      <c r="AI130" s="37"/>
      <c r="AS130" s="53">
        <f>SUM(AJ131:AJ163)</f>
        <v>0</v>
      </c>
      <c r="AT130" s="53">
        <f>SUM(AK131:AK163)</f>
        <v>0</v>
      </c>
      <c r="AU130" s="53">
        <f>SUM(AL131:AL163)</f>
        <v>0</v>
      </c>
    </row>
    <row r="131" spans="1:64" ht="12.75">
      <c r="A131" s="4" t="s">
        <v>51</v>
      </c>
      <c r="B131" s="14" t="s">
        <v>169</v>
      </c>
      <c r="C131" s="244" t="s">
        <v>333</v>
      </c>
      <c r="D131" s="245"/>
      <c r="E131" s="14" t="s">
        <v>509</v>
      </c>
      <c r="F131" s="26">
        <v>4</v>
      </c>
      <c r="G131" s="155">
        <v>0</v>
      </c>
      <c r="H131" s="26">
        <f>F131*AO131</f>
        <v>0</v>
      </c>
      <c r="I131" s="26">
        <f>F131*AP131</f>
        <v>0</v>
      </c>
      <c r="J131" s="26">
        <f>F131*G131</f>
        <v>0</v>
      </c>
      <c r="K131" s="26">
        <v>0.00807</v>
      </c>
      <c r="L131" s="26">
        <f>F131*K131</f>
        <v>0.03228</v>
      </c>
      <c r="M131" s="41" t="s">
        <v>683</v>
      </c>
      <c r="N131" s="5"/>
      <c r="Z131" s="47">
        <f>IF(AQ131="5",BJ131,0)</f>
        <v>0</v>
      </c>
      <c r="AB131" s="47">
        <f>IF(AQ131="1",BH131,0)</f>
        <v>0</v>
      </c>
      <c r="AC131" s="47">
        <f>IF(AQ131="1",BI131,0)</f>
        <v>0</v>
      </c>
      <c r="AD131" s="47">
        <f>IF(AQ131="7",BH131,0)</f>
        <v>0</v>
      </c>
      <c r="AE131" s="47">
        <f>IF(AQ131="7",BI131,0)</f>
        <v>0</v>
      </c>
      <c r="AF131" s="47">
        <f>IF(AQ131="2",BH131,0)</f>
        <v>0</v>
      </c>
      <c r="AG131" s="47">
        <f>IF(AQ131="2",BI131,0)</f>
        <v>0</v>
      </c>
      <c r="AH131" s="47">
        <f>IF(AQ131="0",BJ131,0)</f>
        <v>0</v>
      </c>
      <c r="AI131" s="37"/>
      <c r="AJ131" s="26">
        <f>IF(AN131=0,J131,0)</f>
        <v>0</v>
      </c>
      <c r="AK131" s="26">
        <f>IF(AN131=15,J131,0)</f>
        <v>0</v>
      </c>
      <c r="AL131" s="26">
        <f>IF(AN131=21,J131,0)</f>
        <v>0</v>
      </c>
      <c r="AN131" s="47">
        <v>21</v>
      </c>
      <c r="AO131" s="47">
        <f>G131*0.885965834428384</f>
        <v>0</v>
      </c>
      <c r="AP131" s="47">
        <f>G131*(1-0.885965834428384)</f>
        <v>0</v>
      </c>
      <c r="AQ131" s="48" t="s">
        <v>13</v>
      </c>
      <c r="AV131" s="47">
        <f>AW131+AX131</f>
        <v>0</v>
      </c>
      <c r="AW131" s="47">
        <f>F131*AO131</f>
        <v>0</v>
      </c>
      <c r="AX131" s="47">
        <f>F131*AP131</f>
        <v>0</v>
      </c>
      <c r="AY131" s="50" t="s">
        <v>548</v>
      </c>
      <c r="AZ131" s="50" t="s">
        <v>565</v>
      </c>
      <c r="BA131" s="37" t="s">
        <v>571</v>
      </c>
      <c r="BC131" s="47">
        <f>AW131+AX131</f>
        <v>0</v>
      </c>
      <c r="BD131" s="47">
        <f>G131/(100-BE131)*100</f>
        <v>0</v>
      </c>
      <c r="BE131" s="47">
        <v>0</v>
      </c>
      <c r="BF131" s="47">
        <f>L131</f>
        <v>0.03228</v>
      </c>
      <c r="BH131" s="26">
        <f>F131*AO131</f>
        <v>0</v>
      </c>
      <c r="BI131" s="26">
        <f>F131*AP131</f>
        <v>0</v>
      </c>
      <c r="BJ131" s="26">
        <f>F131*G131</f>
        <v>0</v>
      </c>
      <c r="BK131" s="26" t="s">
        <v>576</v>
      </c>
      <c r="BL131" s="47">
        <v>725</v>
      </c>
    </row>
    <row r="132" spans="1:14" ht="12.75">
      <c r="A132" s="5"/>
      <c r="C132" s="18" t="s">
        <v>10</v>
      </c>
      <c r="D132" s="20" t="s">
        <v>476</v>
      </c>
      <c r="F132" s="27">
        <v>4</v>
      </c>
      <c r="M132" s="42"/>
      <c r="N132" s="5"/>
    </row>
    <row r="133" spans="1:64" ht="12.75">
      <c r="A133" s="4" t="s">
        <v>52</v>
      </c>
      <c r="B133" s="14" t="s">
        <v>170</v>
      </c>
      <c r="C133" s="244" t="s">
        <v>334</v>
      </c>
      <c r="D133" s="245"/>
      <c r="E133" s="14" t="s">
        <v>509</v>
      </c>
      <c r="F133" s="26">
        <v>4</v>
      </c>
      <c r="G133" s="155">
        <v>0</v>
      </c>
      <c r="H133" s="26">
        <f>F133*AO133</f>
        <v>0</v>
      </c>
      <c r="I133" s="26">
        <f>F133*AP133</f>
        <v>0</v>
      </c>
      <c r="J133" s="26">
        <f>F133*G133</f>
        <v>0</v>
      </c>
      <c r="K133" s="26">
        <v>0.01251</v>
      </c>
      <c r="L133" s="26">
        <f>F133*K133</f>
        <v>0.05004</v>
      </c>
      <c r="M133" s="41" t="s">
        <v>683</v>
      </c>
      <c r="N133" s="5"/>
      <c r="Z133" s="47">
        <f>IF(AQ133="5",BJ133,0)</f>
        <v>0</v>
      </c>
      <c r="AB133" s="47">
        <f>IF(AQ133="1",BH133,0)</f>
        <v>0</v>
      </c>
      <c r="AC133" s="47">
        <f>IF(AQ133="1",BI133,0)</f>
        <v>0</v>
      </c>
      <c r="AD133" s="47">
        <f>IF(AQ133="7",BH133,0)</f>
        <v>0</v>
      </c>
      <c r="AE133" s="47">
        <f>IF(AQ133="7",BI133,0)</f>
        <v>0</v>
      </c>
      <c r="AF133" s="47">
        <f>IF(AQ133="2",BH133,0)</f>
        <v>0</v>
      </c>
      <c r="AG133" s="47">
        <f>IF(AQ133="2",BI133,0)</f>
        <v>0</v>
      </c>
      <c r="AH133" s="47">
        <f>IF(AQ133="0",BJ133,0)</f>
        <v>0</v>
      </c>
      <c r="AI133" s="37"/>
      <c r="AJ133" s="26">
        <f>IF(AN133=0,J133,0)</f>
        <v>0</v>
      </c>
      <c r="AK133" s="26">
        <f>IF(AN133=15,J133,0)</f>
        <v>0</v>
      </c>
      <c r="AL133" s="26">
        <f>IF(AN133=21,J133,0)</f>
        <v>0</v>
      </c>
      <c r="AN133" s="47">
        <v>21</v>
      </c>
      <c r="AO133" s="47">
        <f>G133*0.708724770642202</f>
        <v>0</v>
      </c>
      <c r="AP133" s="47">
        <f>G133*(1-0.708724770642202)</f>
        <v>0</v>
      </c>
      <c r="AQ133" s="48" t="s">
        <v>13</v>
      </c>
      <c r="AV133" s="47">
        <f>AW133+AX133</f>
        <v>0</v>
      </c>
      <c r="AW133" s="47">
        <f>F133*AO133</f>
        <v>0</v>
      </c>
      <c r="AX133" s="47">
        <f>F133*AP133</f>
        <v>0</v>
      </c>
      <c r="AY133" s="50" t="s">
        <v>548</v>
      </c>
      <c r="AZ133" s="50" t="s">
        <v>565</v>
      </c>
      <c r="BA133" s="37" t="s">
        <v>571</v>
      </c>
      <c r="BC133" s="47">
        <f>AW133+AX133</f>
        <v>0</v>
      </c>
      <c r="BD133" s="47">
        <f>G133/(100-BE133)*100</f>
        <v>0</v>
      </c>
      <c r="BE133" s="47">
        <v>0</v>
      </c>
      <c r="BF133" s="47">
        <f>L133</f>
        <v>0.05004</v>
      </c>
      <c r="BH133" s="26">
        <f>F133*AO133</f>
        <v>0</v>
      </c>
      <c r="BI133" s="26">
        <f>F133*AP133</f>
        <v>0</v>
      </c>
      <c r="BJ133" s="26">
        <f>F133*G133</f>
        <v>0</v>
      </c>
      <c r="BK133" s="26" t="s">
        <v>576</v>
      </c>
      <c r="BL133" s="47">
        <v>725</v>
      </c>
    </row>
    <row r="134" spans="1:14" ht="12.75">
      <c r="A134" s="5"/>
      <c r="C134" s="18" t="s">
        <v>10</v>
      </c>
      <c r="D134" s="20" t="s">
        <v>477</v>
      </c>
      <c r="F134" s="27">
        <v>4</v>
      </c>
      <c r="M134" s="42"/>
      <c r="N134" s="5"/>
    </row>
    <row r="135" spans="1:64" ht="12.75">
      <c r="A135" s="4" t="s">
        <v>53</v>
      </c>
      <c r="B135" s="14" t="s">
        <v>171</v>
      </c>
      <c r="C135" s="244" t="s">
        <v>335</v>
      </c>
      <c r="D135" s="245"/>
      <c r="E135" s="14" t="s">
        <v>509</v>
      </c>
      <c r="F135" s="26">
        <v>1</v>
      </c>
      <c r="G135" s="155">
        <v>0</v>
      </c>
      <c r="H135" s="26">
        <f>F135*AO135</f>
        <v>0</v>
      </c>
      <c r="I135" s="26">
        <f>F135*AP135</f>
        <v>0</v>
      </c>
      <c r="J135" s="26">
        <f>F135*G135</f>
        <v>0</v>
      </c>
      <c r="K135" s="26">
        <v>0.01701</v>
      </c>
      <c r="L135" s="26">
        <f>F135*K135</f>
        <v>0.01701</v>
      </c>
      <c r="M135" s="41" t="s">
        <v>683</v>
      </c>
      <c r="N135" s="5"/>
      <c r="Z135" s="47">
        <f>IF(AQ135="5",BJ135,0)</f>
        <v>0</v>
      </c>
      <c r="AB135" s="47">
        <f>IF(AQ135="1",BH135,0)</f>
        <v>0</v>
      </c>
      <c r="AC135" s="47">
        <f>IF(AQ135="1",BI135,0)</f>
        <v>0</v>
      </c>
      <c r="AD135" s="47">
        <f>IF(AQ135="7",BH135,0)</f>
        <v>0</v>
      </c>
      <c r="AE135" s="47">
        <f>IF(AQ135="7",BI135,0)</f>
        <v>0</v>
      </c>
      <c r="AF135" s="47">
        <f>IF(AQ135="2",BH135,0)</f>
        <v>0</v>
      </c>
      <c r="AG135" s="47">
        <f>IF(AQ135="2",BI135,0)</f>
        <v>0</v>
      </c>
      <c r="AH135" s="47">
        <f>IF(AQ135="0",BJ135,0)</f>
        <v>0</v>
      </c>
      <c r="AI135" s="37"/>
      <c r="AJ135" s="26">
        <f>IF(AN135=0,J135,0)</f>
        <v>0</v>
      </c>
      <c r="AK135" s="26">
        <f>IF(AN135=15,J135,0)</f>
        <v>0</v>
      </c>
      <c r="AL135" s="26">
        <f>IF(AN135=21,J135,0)</f>
        <v>0</v>
      </c>
      <c r="AN135" s="47">
        <v>21</v>
      </c>
      <c r="AO135" s="47">
        <f>G135*0.75622832496853</f>
        <v>0</v>
      </c>
      <c r="AP135" s="47">
        <f>G135*(1-0.75622832496853)</f>
        <v>0</v>
      </c>
      <c r="AQ135" s="48" t="s">
        <v>13</v>
      </c>
      <c r="AV135" s="47">
        <f>AW135+AX135</f>
        <v>0</v>
      </c>
      <c r="AW135" s="47">
        <f>F135*AO135</f>
        <v>0</v>
      </c>
      <c r="AX135" s="47">
        <f>F135*AP135</f>
        <v>0</v>
      </c>
      <c r="AY135" s="50" t="s">
        <v>548</v>
      </c>
      <c r="AZ135" s="50" t="s">
        <v>565</v>
      </c>
      <c r="BA135" s="37" t="s">
        <v>571</v>
      </c>
      <c r="BC135" s="47">
        <f>AW135+AX135</f>
        <v>0</v>
      </c>
      <c r="BD135" s="47">
        <f>G135/(100-BE135)*100</f>
        <v>0</v>
      </c>
      <c r="BE135" s="47">
        <v>0</v>
      </c>
      <c r="BF135" s="47">
        <f>L135</f>
        <v>0.01701</v>
      </c>
      <c r="BH135" s="26">
        <f>F135*AO135</f>
        <v>0</v>
      </c>
      <c r="BI135" s="26">
        <f>F135*AP135</f>
        <v>0</v>
      </c>
      <c r="BJ135" s="26">
        <f>F135*G135</f>
        <v>0</v>
      </c>
      <c r="BK135" s="26" t="s">
        <v>576</v>
      </c>
      <c r="BL135" s="47">
        <v>725</v>
      </c>
    </row>
    <row r="136" spans="1:14" ht="12.75">
      <c r="A136" s="5"/>
      <c r="C136" s="18" t="s">
        <v>7</v>
      </c>
      <c r="D136" s="20" t="s">
        <v>477</v>
      </c>
      <c r="F136" s="27">
        <v>1</v>
      </c>
      <c r="M136" s="42"/>
      <c r="N136" s="5"/>
    </row>
    <row r="137" spans="1:64" ht="12.75">
      <c r="A137" s="4" t="s">
        <v>54</v>
      </c>
      <c r="B137" s="14" t="s">
        <v>172</v>
      </c>
      <c r="C137" s="244" t="s">
        <v>336</v>
      </c>
      <c r="D137" s="245"/>
      <c r="E137" s="14" t="s">
        <v>509</v>
      </c>
      <c r="F137" s="26">
        <v>3</v>
      </c>
      <c r="G137" s="155">
        <v>0</v>
      </c>
      <c r="H137" s="26">
        <f>F137*AO137</f>
        <v>0</v>
      </c>
      <c r="I137" s="26">
        <f>F137*AP137</f>
        <v>0</v>
      </c>
      <c r="J137" s="26">
        <f>F137*G137</f>
        <v>0</v>
      </c>
      <c r="K137" s="26">
        <v>0.02794</v>
      </c>
      <c r="L137" s="26">
        <f>F137*K137</f>
        <v>0.08382</v>
      </c>
      <c r="M137" s="41" t="s">
        <v>683</v>
      </c>
      <c r="N137" s="5"/>
      <c r="Z137" s="47">
        <f>IF(AQ137="5",BJ137,0)</f>
        <v>0</v>
      </c>
      <c r="AB137" s="47">
        <f>IF(AQ137="1",BH137,0)</f>
        <v>0</v>
      </c>
      <c r="AC137" s="47">
        <f>IF(AQ137="1",BI137,0)</f>
        <v>0</v>
      </c>
      <c r="AD137" s="47">
        <f>IF(AQ137="7",BH137,0)</f>
        <v>0</v>
      </c>
      <c r="AE137" s="47">
        <f>IF(AQ137="7",BI137,0)</f>
        <v>0</v>
      </c>
      <c r="AF137" s="47">
        <f>IF(AQ137="2",BH137,0)</f>
        <v>0</v>
      </c>
      <c r="AG137" s="47">
        <f>IF(AQ137="2",BI137,0)</f>
        <v>0</v>
      </c>
      <c r="AH137" s="47">
        <f>IF(AQ137="0",BJ137,0)</f>
        <v>0</v>
      </c>
      <c r="AI137" s="37"/>
      <c r="AJ137" s="26">
        <f>IF(AN137=0,J137,0)</f>
        <v>0</v>
      </c>
      <c r="AK137" s="26">
        <f>IF(AN137=15,J137,0)</f>
        <v>0</v>
      </c>
      <c r="AL137" s="26">
        <f>IF(AN137=21,J137,0)</f>
        <v>0</v>
      </c>
      <c r="AN137" s="47">
        <v>21</v>
      </c>
      <c r="AO137" s="47">
        <f>G137*0.849988764044944</f>
        <v>0</v>
      </c>
      <c r="AP137" s="47">
        <f>G137*(1-0.849988764044944)</f>
        <v>0</v>
      </c>
      <c r="AQ137" s="48" t="s">
        <v>13</v>
      </c>
      <c r="AV137" s="47">
        <f>AW137+AX137</f>
        <v>0</v>
      </c>
      <c r="AW137" s="47">
        <f>F137*AO137</f>
        <v>0</v>
      </c>
      <c r="AX137" s="47">
        <f>F137*AP137</f>
        <v>0</v>
      </c>
      <c r="AY137" s="50" t="s">
        <v>548</v>
      </c>
      <c r="AZ137" s="50" t="s">
        <v>565</v>
      </c>
      <c r="BA137" s="37" t="s">
        <v>571</v>
      </c>
      <c r="BC137" s="47">
        <f>AW137+AX137</f>
        <v>0</v>
      </c>
      <c r="BD137" s="47">
        <f>G137/(100-BE137)*100</f>
        <v>0</v>
      </c>
      <c r="BE137" s="47">
        <v>0</v>
      </c>
      <c r="BF137" s="47">
        <f>L137</f>
        <v>0.08382</v>
      </c>
      <c r="BH137" s="26">
        <f>F137*AO137</f>
        <v>0</v>
      </c>
      <c r="BI137" s="26">
        <f>F137*AP137</f>
        <v>0</v>
      </c>
      <c r="BJ137" s="26">
        <f>F137*G137</f>
        <v>0</v>
      </c>
      <c r="BK137" s="26" t="s">
        <v>576</v>
      </c>
      <c r="BL137" s="47">
        <v>725</v>
      </c>
    </row>
    <row r="138" spans="1:14" ht="12.75">
      <c r="A138" s="5"/>
      <c r="C138" s="18" t="s">
        <v>9</v>
      </c>
      <c r="D138" s="20" t="s">
        <v>477</v>
      </c>
      <c r="F138" s="27">
        <v>3</v>
      </c>
      <c r="M138" s="42"/>
      <c r="N138" s="5"/>
    </row>
    <row r="139" spans="1:64" ht="12.75">
      <c r="A139" s="4" t="s">
        <v>55</v>
      </c>
      <c r="B139" s="14" t="s">
        <v>173</v>
      </c>
      <c r="C139" s="244" t="s">
        <v>337</v>
      </c>
      <c r="D139" s="245"/>
      <c r="E139" s="14" t="s">
        <v>509</v>
      </c>
      <c r="F139" s="26">
        <v>3</v>
      </c>
      <c r="G139" s="155">
        <v>0</v>
      </c>
      <c r="H139" s="26">
        <f>F139*AO139</f>
        <v>0</v>
      </c>
      <c r="I139" s="26">
        <f>F139*AP139</f>
        <v>0</v>
      </c>
      <c r="J139" s="26">
        <f>F139*G139</f>
        <v>0</v>
      </c>
      <c r="K139" s="26">
        <v>0.016</v>
      </c>
      <c r="L139" s="26">
        <f>F139*K139</f>
        <v>0.048</v>
      </c>
      <c r="M139" s="41" t="s">
        <v>683</v>
      </c>
      <c r="N139" s="5"/>
      <c r="Z139" s="47">
        <f>IF(AQ139="5",BJ139,0)</f>
        <v>0</v>
      </c>
      <c r="AB139" s="47">
        <f>IF(AQ139="1",BH139,0)</f>
        <v>0</v>
      </c>
      <c r="AC139" s="47">
        <f>IF(AQ139="1",BI139,0)</f>
        <v>0</v>
      </c>
      <c r="AD139" s="47">
        <f>IF(AQ139="7",BH139,0)</f>
        <v>0</v>
      </c>
      <c r="AE139" s="47">
        <f>IF(AQ139="7",BI139,0)</f>
        <v>0</v>
      </c>
      <c r="AF139" s="47">
        <f>IF(AQ139="2",BH139,0)</f>
        <v>0</v>
      </c>
      <c r="AG139" s="47">
        <f>IF(AQ139="2",BI139,0)</f>
        <v>0</v>
      </c>
      <c r="AH139" s="47">
        <f>IF(AQ139="0",BJ139,0)</f>
        <v>0</v>
      </c>
      <c r="AI139" s="37"/>
      <c r="AJ139" s="26">
        <f>IF(AN139=0,J139,0)</f>
        <v>0</v>
      </c>
      <c r="AK139" s="26">
        <f>IF(AN139=15,J139,0)</f>
        <v>0</v>
      </c>
      <c r="AL139" s="26">
        <f>IF(AN139=21,J139,0)</f>
        <v>0</v>
      </c>
      <c r="AN139" s="47">
        <v>21</v>
      </c>
      <c r="AO139" s="47">
        <f>G139*0.950508241758242</f>
        <v>0</v>
      </c>
      <c r="AP139" s="47">
        <f>G139*(1-0.950508241758242)</f>
        <v>0</v>
      </c>
      <c r="AQ139" s="48" t="s">
        <v>13</v>
      </c>
      <c r="AV139" s="47">
        <f>AW139+AX139</f>
        <v>0</v>
      </c>
      <c r="AW139" s="47">
        <f>F139*AO139</f>
        <v>0</v>
      </c>
      <c r="AX139" s="47">
        <f>F139*AP139</f>
        <v>0</v>
      </c>
      <c r="AY139" s="50" t="s">
        <v>548</v>
      </c>
      <c r="AZ139" s="50" t="s">
        <v>565</v>
      </c>
      <c r="BA139" s="37" t="s">
        <v>571</v>
      </c>
      <c r="BC139" s="47">
        <f>AW139+AX139</f>
        <v>0</v>
      </c>
      <c r="BD139" s="47">
        <f>G139/(100-BE139)*100</f>
        <v>0</v>
      </c>
      <c r="BE139" s="47">
        <v>0</v>
      </c>
      <c r="BF139" s="47">
        <f>L139</f>
        <v>0.048</v>
      </c>
      <c r="BH139" s="26">
        <f>F139*AO139</f>
        <v>0</v>
      </c>
      <c r="BI139" s="26">
        <f>F139*AP139</f>
        <v>0</v>
      </c>
      <c r="BJ139" s="26">
        <f>F139*G139</f>
        <v>0</v>
      </c>
      <c r="BK139" s="26" t="s">
        <v>576</v>
      </c>
      <c r="BL139" s="47">
        <v>725</v>
      </c>
    </row>
    <row r="140" spans="1:14" ht="12.75">
      <c r="A140" s="5"/>
      <c r="C140" s="18" t="s">
        <v>9</v>
      </c>
      <c r="D140" s="20" t="s">
        <v>477</v>
      </c>
      <c r="F140" s="27">
        <v>3</v>
      </c>
      <c r="M140" s="42"/>
      <c r="N140" s="5"/>
    </row>
    <row r="141" spans="1:64" ht="12.75">
      <c r="A141" s="4" t="s">
        <v>56</v>
      </c>
      <c r="B141" s="14" t="s">
        <v>174</v>
      </c>
      <c r="C141" s="244" t="s">
        <v>338</v>
      </c>
      <c r="D141" s="245"/>
      <c r="E141" s="14" t="s">
        <v>506</v>
      </c>
      <c r="F141" s="26">
        <v>5</v>
      </c>
      <c r="G141" s="155">
        <v>0</v>
      </c>
      <c r="H141" s="26">
        <f>F141*AO141</f>
        <v>0</v>
      </c>
      <c r="I141" s="26">
        <f>F141*AP141</f>
        <v>0</v>
      </c>
      <c r="J141" s="26">
        <f>F141*G141</f>
        <v>0</v>
      </c>
      <c r="K141" s="26">
        <v>0.00085</v>
      </c>
      <c r="L141" s="26">
        <f>F141*K141</f>
        <v>0.0042499999999999994</v>
      </c>
      <c r="M141" s="41" t="s">
        <v>683</v>
      </c>
      <c r="N141" s="5"/>
      <c r="Z141" s="47">
        <f>IF(AQ141="5",BJ141,0)</f>
        <v>0</v>
      </c>
      <c r="AB141" s="47">
        <f>IF(AQ141="1",BH141,0)</f>
        <v>0</v>
      </c>
      <c r="AC141" s="47">
        <f>IF(AQ141="1",BI141,0)</f>
        <v>0</v>
      </c>
      <c r="AD141" s="47">
        <f>IF(AQ141="7",BH141,0)</f>
        <v>0</v>
      </c>
      <c r="AE141" s="47">
        <f>IF(AQ141="7",BI141,0)</f>
        <v>0</v>
      </c>
      <c r="AF141" s="47">
        <f>IF(AQ141="2",BH141,0)</f>
        <v>0</v>
      </c>
      <c r="AG141" s="47">
        <f>IF(AQ141="2",BI141,0)</f>
        <v>0</v>
      </c>
      <c r="AH141" s="47">
        <f>IF(AQ141="0",BJ141,0)</f>
        <v>0</v>
      </c>
      <c r="AI141" s="37"/>
      <c r="AJ141" s="26">
        <f>IF(AN141=0,J141,0)</f>
        <v>0</v>
      </c>
      <c r="AK141" s="26">
        <f>IF(AN141=15,J141,0)</f>
        <v>0</v>
      </c>
      <c r="AL141" s="26">
        <f>IF(AN141=21,J141,0)</f>
        <v>0</v>
      </c>
      <c r="AN141" s="47">
        <v>21</v>
      </c>
      <c r="AO141" s="47">
        <f>G141*0.896133016627078</f>
        <v>0</v>
      </c>
      <c r="AP141" s="47">
        <f>G141*(1-0.896133016627078)</f>
        <v>0</v>
      </c>
      <c r="AQ141" s="48" t="s">
        <v>13</v>
      </c>
      <c r="AV141" s="47">
        <f>AW141+AX141</f>
        <v>0</v>
      </c>
      <c r="AW141" s="47">
        <f>F141*AO141</f>
        <v>0</v>
      </c>
      <c r="AX141" s="47">
        <f>F141*AP141</f>
        <v>0</v>
      </c>
      <c r="AY141" s="50" t="s">
        <v>548</v>
      </c>
      <c r="AZ141" s="50" t="s">
        <v>565</v>
      </c>
      <c r="BA141" s="37" t="s">
        <v>571</v>
      </c>
      <c r="BC141" s="47">
        <f>AW141+AX141</f>
        <v>0</v>
      </c>
      <c r="BD141" s="47">
        <f>G141/(100-BE141)*100</f>
        <v>0</v>
      </c>
      <c r="BE141" s="47">
        <v>0</v>
      </c>
      <c r="BF141" s="47">
        <f>L141</f>
        <v>0.0042499999999999994</v>
      </c>
      <c r="BH141" s="26">
        <f>F141*AO141</f>
        <v>0</v>
      </c>
      <c r="BI141" s="26">
        <f>F141*AP141</f>
        <v>0</v>
      </c>
      <c r="BJ141" s="26">
        <f>F141*G141</f>
        <v>0</v>
      </c>
      <c r="BK141" s="26" t="s">
        <v>576</v>
      </c>
      <c r="BL141" s="47">
        <v>725</v>
      </c>
    </row>
    <row r="142" spans="1:14" ht="12.75">
      <c r="A142" s="5"/>
      <c r="C142" s="18" t="s">
        <v>11</v>
      </c>
      <c r="D142" s="20" t="s">
        <v>477</v>
      </c>
      <c r="F142" s="27">
        <v>5</v>
      </c>
      <c r="M142" s="42"/>
      <c r="N142" s="5"/>
    </row>
    <row r="143" spans="1:64" ht="12.75">
      <c r="A143" s="4" t="s">
        <v>57</v>
      </c>
      <c r="B143" s="14" t="s">
        <v>175</v>
      </c>
      <c r="C143" s="244" t="s">
        <v>339</v>
      </c>
      <c r="D143" s="245"/>
      <c r="E143" s="14" t="s">
        <v>506</v>
      </c>
      <c r="F143" s="26">
        <v>4</v>
      </c>
      <c r="G143" s="155">
        <v>0</v>
      </c>
      <c r="H143" s="26">
        <f>F143*AO143</f>
        <v>0</v>
      </c>
      <c r="I143" s="26">
        <f>F143*AP143</f>
        <v>0</v>
      </c>
      <c r="J143" s="26">
        <f>F143*G143</f>
        <v>0</v>
      </c>
      <c r="K143" s="26">
        <v>0.00022</v>
      </c>
      <c r="L143" s="26">
        <f>F143*K143</f>
        <v>0.00088</v>
      </c>
      <c r="M143" s="41" t="s">
        <v>683</v>
      </c>
      <c r="N143" s="5"/>
      <c r="Z143" s="47">
        <f>IF(AQ143="5",BJ143,0)</f>
        <v>0</v>
      </c>
      <c r="AB143" s="47">
        <f>IF(AQ143="1",BH143,0)</f>
        <v>0</v>
      </c>
      <c r="AC143" s="47">
        <f>IF(AQ143="1",BI143,0)</f>
        <v>0</v>
      </c>
      <c r="AD143" s="47">
        <f>IF(AQ143="7",BH143,0)</f>
        <v>0</v>
      </c>
      <c r="AE143" s="47">
        <f>IF(AQ143="7",BI143,0)</f>
        <v>0</v>
      </c>
      <c r="AF143" s="47">
        <f>IF(AQ143="2",BH143,0)</f>
        <v>0</v>
      </c>
      <c r="AG143" s="47">
        <f>IF(AQ143="2",BI143,0)</f>
        <v>0</v>
      </c>
      <c r="AH143" s="47">
        <f>IF(AQ143="0",BJ143,0)</f>
        <v>0</v>
      </c>
      <c r="AI143" s="37"/>
      <c r="AJ143" s="26">
        <f>IF(AN143=0,J143,0)</f>
        <v>0</v>
      </c>
      <c r="AK143" s="26">
        <f>IF(AN143=15,J143,0)</f>
        <v>0</v>
      </c>
      <c r="AL143" s="26">
        <f>IF(AN143=21,J143,0)</f>
        <v>0</v>
      </c>
      <c r="AN143" s="47">
        <v>21</v>
      </c>
      <c r="AO143" s="47">
        <f>G143*0.7587624750499</f>
        <v>0</v>
      </c>
      <c r="AP143" s="47">
        <f>G143*(1-0.7587624750499)</f>
        <v>0</v>
      </c>
      <c r="AQ143" s="48" t="s">
        <v>13</v>
      </c>
      <c r="AV143" s="47">
        <f>AW143+AX143</f>
        <v>0</v>
      </c>
      <c r="AW143" s="47">
        <f>F143*AO143</f>
        <v>0</v>
      </c>
      <c r="AX143" s="47">
        <f>F143*AP143</f>
        <v>0</v>
      </c>
      <c r="AY143" s="50" t="s">
        <v>548</v>
      </c>
      <c r="AZ143" s="50" t="s">
        <v>565</v>
      </c>
      <c r="BA143" s="37" t="s">
        <v>571</v>
      </c>
      <c r="BC143" s="47">
        <f>AW143+AX143</f>
        <v>0</v>
      </c>
      <c r="BD143" s="47">
        <f>G143/(100-BE143)*100</f>
        <v>0</v>
      </c>
      <c r="BE143" s="47">
        <v>0</v>
      </c>
      <c r="BF143" s="47">
        <f>L143</f>
        <v>0.00088</v>
      </c>
      <c r="BH143" s="26">
        <f>F143*AO143</f>
        <v>0</v>
      </c>
      <c r="BI143" s="26">
        <f>F143*AP143</f>
        <v>0</v>
      </c>
      <c r="BJ143" s="26">
        <f>F143*G143</f>
        <v>0</v>
      </c>
      <c r="BK143" s="26" t="s">
        <v>576</v>
      </c>
      <c r="BL143" s="47">
        <v>725</v>
      </c>
    </row>
    <row r="144" spans="1:14" ht="12.75">
      <c r="A144" s="5"/>
      <c r="C144" s="18" t="s">
        <v>10</v>
      </c>
      <c r="D144" s="20" t="s">
        <v>477</v>
      </c>
      <c r="F144" s="27">
        <v>4</v>
      </c>
      <c r="M144" s="42"/>
      <c r="N144" s="5"/>
    </row>
    <row r="145" spans="1:64" ht="12.75">
      <c r="A145" s="7" t="s">
        <v>58</v>
      </c>
      <c r="B145" s="16" t="s">
        <v>176</v>
      </c>
      <c r="C145" s="247" t="s">
        <v>340</v>
      </c>
      <c r="D145" s="248"/>
      <c r="E145" s="16" t="s">
        <v>510</v>
      </c>
      <c r="F145" s="28">
        <v>1</v>
      </c>
      <c r="G145" s="156">
        <v>0</v>
      </c>
      <c r="H145" s="28">
        <f>F145*AO145</f>
        <v>0</v>
      </c>
      <c r="I145" s="28">
        <f>F145*AP145</f>
        <v>0</v>
      </c>
      <c r="J145" s="28">
        <f>F145*G145</f>
        <v>0</v>
      </c>
      <c r="K145" s="28">
        <v>0.0005</v>
      </c>
      <c r="L145" s="28">
        <f>F145*K145</f>
        <v>0.0005</v>
      </c>
      <c r="M145" s="44"/>
      <c r="N145" s="5"/>
      <c r="Z145" s="47">
        <f>IF(AQ145="5",BJ145,0)</f>
        <v>0</v>
      </c>
      <c r="AB145" s="47">
        <f>IF(AQ145="1",BH145,0)</f>
        <v>0</v>
      </c>
      <c r="AC145" s="47">
        <f>IF(AQ145="1",BI145,0)</f>
        <v>0</v>
      </c>
      <c r="AD145" s="47">
        <f>IF(AQ145="7",BH145,0)</f>
        <v>0</v>
      </c>
      <c r="AE145" s="47">
        <f>IF(AQ145="7",BI145,0)</f>
        <v>0</v>
      </c>
      <c r="AF145" s="47">
        <f>IF(AQ145="2",BH145,0)</f>
        <v>0</v>
      </c>
      <c r="AG145" s="47">
        <f>IF(AQ145="2",BI145,0)</f>
        <v>0</v>
      </c>
      <c r="AH145" s="47">
        <f>IF(AQ145="0",BJ145,0)</f>
        <v>0</v>
      </c>
      <c r="AI145" s="37"/>
      <c r="AJ145" s="28">
        <f>IF(AN145=0,J145,0)</f>
        <v>0</v>
      </c>
      <c r="AK145" s="28">
        <f>IF(AN145=15,J145,0)</f>
        <v>0</v>
      </c>
      <c r="AL145" s="28">
        <f>IF(AN145=21,J145,0)</f>
        <v>0</v>
      </c>
      <c r="AN145" s="47">
        <v>21</v>
      </c>
      <c r="AO145" s="47">
        <f>G145*1</f>
        <v>0</v>
      </c>
      <c r="AP145" s="47">
        <f>G145*(1-1)</f>
        <v>0</v>
      </c>
      <c r="AQ145" s="49" t="s">
        <v>13</v>
      </c>
      <c r="AV145" s="47">
        <f>AW145+AX145</f>
        <v>0</v>
      </c>
      <c r="AW145" s="47">
        <f>F145*AO145</f>
        <v>0</v>
      </c>
      <c r="AX145" s="47">
        <f>F145*AP145</f>
        <v>0</v>
      </c>
      <c r="AY145" s="50" t="s">
        <v>548</v>
      </c>
      <c r="AZ145" s="50" t="s">
        <v>565</v>
      </c>
      <c r="BA145" s="37" t="s">
        <v>571</v>
      </c>
      <c r="BC145" s="47">
        <f>AW145+AX145</f>
        <v>0</v>
      </c>
      <c r="BD145" s="47">
        <f>G145/(100-BE145)*100</f>
        <v>0</v>
      </c>
      <c r="BE145" s="47">
        <v>0</v>
      </c>
      <c r="BF145" s="47">
        <f>L145</f>
        <v>0.0005</v>
      </c>
      <c r="BH145" s="28">
        <f>F145*AO145</f>
        <v>0</v>
      </c>
      <c r="BI145" s="28">
        <f>F145*AP145</f>
        <v>0</v>
      </c>
      <c r="BJ145" s="28">
        <f>F145*G145</f>
        <v>0</v>
      </c>
      <c r="BK145" s="28" t="s">
        <v>577</v>
      </c>
      <c r="BL145" s="47">
        <v>725</v>
      </c>
    </row>
    <row r="146" spans="1:14" ht="12.75">
      <c r="A146" s="5"/>
      <c r="C146" s="18" t="s">
        <v>7</v>
      </c>
      <c r="D146" s="20" t="s">
        <v>477</v>
      </c>
      <c r="F146" s="27">
        <v>1</v>
      </c>
      <c r="M146" s="42"/>
      <c r="N146" s="5"/>
    </row>
    <row r="147" spans="1:64" ht="12.75">
      <c r="A147" s="7" t="s">
        <v>59</v>
      </c>
      <c r="B147" s="16" t="s">
        <v>177</v>
      </c>
      <c r="C147" s="247" t="s">
        <v>341</v>
      </c>
      <c r="D147" s="248"/>
      <c r="E147" s="16" t="s">
        <v>510</v>
      </c>
      <c r="F147" s="28">
        <v>3</v>
      </c>
      <c r="G147" s="156">
        <v>0</v>
      </c>
      <c r="H147" s="28">
        <f>F147*AO147</f>
        <v>0</v>
      </c>
      <c r="I147" s="28">
        <f>F147*AP147</f>
        <v>0</v>
      </c>
      <c r="J147" s="28">
        <f>F147*G147</f>
        <v>0</v>
      </c>
      <c r="K147" s="28">
        <v>0.0001</v>
      </c>
      <c r="L147" s="28">
        <f>F147*K147</f>
        <v>0.00030000000000000003</v>
      </c>
      <c r="M147" s="44"/>
      <c r="N147" s="5"/>
      <c r="Z147" s="47">
        <f>IF(AQ147="5",BJ147,0)</f>
        <v>0</v>
      </c>
      <c r="AB147" s="47">
        <f>IF(AQ147="1",BH147,0)</f>
        <v>0</v>
      </c>
      <c r="AC147" s="47">
        <f>IF(AQ147="1",BI147,0)</f>
        <v>0</v>
      </c>
      <c r="AD147" s="47">
        <f>IF(AQ147="7",BH147,0)</f>
        <v>0</v>
      </c>
      <c r="AE147" s="47">
        <f>IF(AQ147="7",BI147,0)</f>
        <v>0</v>
      </c>
      <c r="AF147" s="47">
        <f>IF(AQ147="2",BH147,0)</f>
        <v>0</v>
      </c>
      <c r="AG147" s="47">
        <f>IF(AQ147="2",BI147,0)</f>
        <v>0</v>
      </c>
      <c r="AH147" s="47">
        <f>IF(AQ147="0",BJ147,0)</f>
        <v>0</v>
      </c>
      <c r="AI147" s="37"/>
      <c r="AJ147" s="28">
        <f>IF(AN147=0,J147,0)</f>
        <v>0</v>
      </c>
      <c r="AK147" s="28">
        <f>IF(AN147=15,J147,0)</f>
        <v>0</v>
      </c>
      <c r="AL147" s="28">
        <f>IF(AN147=21,J147,0)</f>
        <v>0</v>
      </c>
      <c r="AN147" s="47">
        <v>21</v>
      </c>
      <c r="AO147" s="47">
        <f>G147*1</f>
        <v>0</v>
      </c>
      <c r="AP147" s="47">
        <f>G147*(1-1)</f>
        <v>0</v>
      </c>
      <c r="AQ147" s="49" t="s">
        <v>13</v>
      </c>
      <c r="AV147" s="47">
        <f>AW147+AX147</f>
        <v>0</v>
      </c>
      <c r="AW147" s="47">
        <f>F147*AO147</f>
        <v>0</v>
      </c>
      <c r="AX147" s="47">
        <f>F147*AP147</f>
        <v>0</v>
      </c>
      <c r="AY147" s="50" t="s">
        <v>548</v>
      </c>
      <c r="AZ147" s="50" t="s">
        <v>565</v>
      </c>
      <c r="BA147" s="37" t="s">
        <v>571</v>
      </c>
      <c r="BC147" s="47">
        <f>AW147+AX147</f>
        <v>0</v>
      </c>
      <c r="BD147" s="47">
        <f>G147/(100-BE147)*100</f>
        <v>0</v>
      </c>
      <c r="BE147" s="47">
        <v>0</v>
      </c>
      <c r="BF147" s="47">
        <f>L147</f>
        <v>0.00030000000000000003</v>
      </c>
      <c r="BH147" s="28">
        <f>F147*AO147</f>
        <v>0</v>
      </c>
      <c r="BI147" s="28">
        <f>F147*AP147</f>
        <v>0</v>
      </c>
      <c r="BJ147" s="28">
        <f>F147*G147</f>
        <v>0</v>
      </c>
      <c r="BK147" s="28" t="s">
        <v>577</v>
      </c>
      <c r="BL147" s="47">
        <v>725</v>
      </c>
    </row>
    <row r="148" spans="1:14" ht="12.75">
      <c r="A148" s="5"/>
      <c r="C148" s="18" t="s">
        <v>9</v>
      </c>
      <c r="D148" s="20" t="s">
        <v>477</v>
      </c>
      <c r="F148" s="27">
        <v>3</v>
      </c>
      <c r="M148" s="42"/>
      <c r="N148" s="5"/>
    </row>
    <row r="149" spans="1:64" ht="12.75">
      <c r="A149" s="7" t="s">
        <v>60</v>
      </c>
      <c r="B149" s="16" t="s">
        <v>178</v>
      </c>
      <c r="C149" s="247" t="s">
        <v>342</v>
      </c>
      <c r="D149" s="248"/>
      <c r="E149" s="16" t="s">
        <v>510</v>
      </c>
      <c r="F149" s="28">
        <v>5</v>
      </c>
      <c r="G149" s="156">
        <v>0</v>
      </c>
      <c r="H149" s="28">
        <f>F149*AO149</f>
        <v>0</v>
      </c>
      <c r="I149" s="28">
        <f>F149*AP149</f>
        <v>0</v>
      </c>
      <c r="J149" s="28">
        <f>F149*G149</f>
        <v>0</v>
      </c>
      <c r="K149" s="28">
        <v>0.0008</v>
      </c>
      <c r="L149" s="28">
        <f>F149*K149</f>
        <v>0.004</v>
      </c>
      <c r="M149" s="44"/>
      <c r="N149" s="5"/>
      <c r="Z149" s="47">
        <f>IF(AQ149="5",BJ149,0)</f>
        <v>0</v>
      </c>
      <c r="AB149" s="47">
        <f>IF(AQ149="1",BH149,0)</f>
        <v>0</v>
      </c>
      <c r="AC149" s="47">
        <f>IF(AQ149="1",BI149,0)</f>
        <v>0</v>
      </c>
      <c r="AD149" s="47">
        <f>IF(AQ149="7",BH149,0)</f>
        <v>0</v>
      </c>
      <c r="AE149" s="47">
        <f>IF(AQ149="7",BI149,0)</f>
        <v>0</v>
      </c>
      <c r="AF149" s="47">
        <f>IF(AQ149="2",BH149,0)</f>
        <v>0</v>
      </c>
      <c r="AG149" s="47">
        <f>IF(AQ149="2",BI149,0)</f>
        <v>0</v>
      </c>
      <c r="AH149" s="47">
        <f>IF(AQ149="0",BJ149,0)</f>
        <v>0</v>
      </c>
      <c r="AI149" s="37"/>
      <c r="AJ149" s="28">
        <f>IF(AN149=0,J149,0)</f>
        <v>0</v>
      </c>
      <c r="AK149" s="28">
        <f>IF(AN149=15,J149,0)</f>
        <v>0</v>
      </c>
      <c r="AL149" s="28">
        <f>IF(AN149=21,J149,0)</f>
        <v>0</v>
      </c>
      <c r="AN149" s="47">
        <v>21</v>
      </c>
      <c r="AO149" s="47">
        <f>G149*1</f>
        <v>0</v>
      </c>
      <c r="AP149" s="47">
        <f>G149*(1-1)</f>
        <v>0</v>
      </c>
      <c r="AQ149" s="49" t="s">
        <v>13</v>
      </c>
      <c r="AV149" s="47">
        <f>AW149+AX149</f>
        <v>0</v>
      </c>
      <c r="AW149" s="47">
        <f>F149*AO149</f>
        <v>0</v>
      </c>
      <c r="AX149" s="47">
        <f>F149*AP149</f>
        <v>0</v>
      </c>
      <c r="AY149" s="50" t="s">
        <v>548</v>
      </c>
      <c r="AZ149" s="50" t="s">
        <v>565</v>
      </c>
      <c r="BA149" s="37" t="s">
        <v>571</v>
      </c>
      <c r="BC149" s="47">
        <f>AW149+AX149</f>
        <v>0</v>
      </c>
      <c r="BD149" s="47">
        <f>G149/(100-BE149)*100</f>
        <v>0</v>
      </c>
      <c r="BE149" s="47">
        <v>0</v>
      </c>
      <c r="BF149" s="47">
        <f>L149</f>
        <v>0.004</v>
      </c>
      <c r="BH149" s="28">
        <f>F149*AO149</f>
        <v>0</v>
      </c>
      <c r="BI149" s="28">
        <f>F149*AP149</f>
        <v>0</v>
      </c>
      <c r="BJ149" s="28">
        <f>F149*G149</f>
        <v>0</v>
      </c>
      <c r="BK149" s="28" t="s">
        <v>577</v>
      </c>
      <c r="BL149" s="47">
        <v>725</v>
      </c>
    </row>
    <row r="150" spans="1:14" ht="12.75">
      <c r="A150" s="5"/>
      <c r="C150" s="18" t="s">
        <v>11</v>
      </c>
      <c r="D150" s="20" t="s">
        <v>477</v>
      </c>
      <c r="F150" s="27">
        <v>5</v>
      </c>
      <c r="M150" s="42"/>
      <c r="N150" s="5"/>
    </row>
    <row r="151" spans="1:64" ht="12.75">
      <c r="A151" s="7" t="s">
        <v>61</v>
      </c>
      <c r="B151" s="16" t="s">
        <v>179</v>
      </c>
      <c r="C151" s="247" t="s">
        <v>343</v>
      </c>
      <c r="D151" s="248"/>
      <c r="E151" s="16" t="s">
        <v>510</v>
      </c>
      <c r="F151" s="28">
        <v>3</v>
      </c>
      <c r="G151" s="156">
        <v>0</v>
      </c>
      <c r="H151" s="28">
        <f>F151*AO151</f>
        <v>0</v>
      </c>
      <c r="I151" s="28">
        <f>F151*AP151</f>
        <v>0</v>
      </c>
      <c r="J151" s="28">
        <f>F151*G151</f>
        <v>0</v>
      </c>
      <c r="K151" s="28">
        <v>0.0005</v>
      </c>
      <c r="L151" s="28">
        <f>F151*K151</f>
        <v>0.0015</v>
      </c>
      <c r="M151" s="44"/>
      <c r="N151" s="5"/>
      <c r="Z151" s="47">
        <f>IF(AQ151="5",BJ151,0)</f>
        <v>0</v>
      </c>
      <c r="AB151" s="47">
        <f>IF(AQ151="1",BH151,0)</f>
        <v>0</v>
      </c>
      <c r="AC151" s="47">
        <f>IF(AQ151="1",BI151,0)</f>
        <v>0</v>
      </c>
      <c r="AD151" s="47">
        <f>IF(AQ151="7",BH151,0)</f>
        <v>0</v>
      </c>
      <c r="AE151" s="47">
        <f>IF(AQ151="7",BI151,0)</f>
        <v>0</v>
      </c>
      <c r="AF151" s="47">
        <f>IF(AQ151="2",BH151,0)</f>
        <v>0</v>
      </c>
      <c r="AG151" s="47">
        <f>IF(AQ151="2",BI151,0)</f>
        <v>0</v>
      </c>
      <c r="AH151" s="47">
        <f>IF(AQ151="0",BJ151,0)</f>
        <v>0</v>
      </c>
      <c r="AI151" s="37"/>
      <c r="AJ151" s="28">
        <f>IF(AN151=0,J151,0)</f>
        <v>0</v>
      </c>
      <c r="AK151" s="28">
        <f>IF(AN151=15,J151,0)</f>
        <v>0</v>
      </c>
      <c r="AL151" s="28">
        <f>IF(AN151=21,J151,0)</f>
        <v>0</v>
      </c>
      <c r="AN151" s="47">
        <v>21</v>
      </c>
      <c r="AO151" s="47">
        <f>G151*1</f>
        <v>0</v>
      </c>
      <c r="AP151" s="47">
        <f>G151*(1-1)</f>
        <v>0</v>
      </c>
      <c r="AQ151" s="49" t="s">
        <v>13</v>
      </c>
      <c r="AV151" s="47">
        <f>AW151+AX151</f>
        <v>0</v>
      </c>
      <c r="AW151" s="47">
        <f>F151*AO151</f>
        <v>0</v>
      </c>
      <c r="AX151" s="47">
        <f>F151*AP151</f>
        <v>0</v>
      </c>
      <c r="AY151" s="50" t="s">
        <v>548</v>
      </c>
      <c r="AZ151" s="50" t="s">
        <v>565</v>
      </c>
      <c r="BA151" s="37" t="s">
        <v>571</v>
      </c>
      <c r="BC151" s="47">
        <f>AW151+AX151</f>
        <v>0</v>
      </c>
      <c r="BD151" s="47">
        <f>G151/(100-BE151)*100</f>
        <v>0</v>
      </c>
      <c r="BE151" s="47">
        <v>0</v>
      </c>
      <c r="BF151" s="47">
        <f>L151</f>
        <v>0.0015</v>
      </c>
      <c r="BH151" s="28">
        <f>F151*AO151</f>
        <v>0</v>
      </c>
      <c r="BI151" s="28">
        <f>F151*AP151</f>
        <v>0</v>
      </c>
      <c r="BJ151" s="28">
        <f>F151*G151</f>
        <v>0</v>
      </c>
      <c r="BK151" s="28" t="s">
        <v>577</v>
      </c>
      <c r="BL151" s="47">
        <v>725</v>
      </c>
    </row>
    <row r="152" spans="1:14" ht="12.75">
      <c r="A152" s="5"/>
      <c r="C152" s="18" t="s">
        <v>9</v>
      </c>
      <c r="D152" s="20" t="s">
        <v>477</v>
      </c>
      <c r="F152" s="27">
        <v>3</v>
      </c>
      <c r="M152" s="42"/>
      <c r="N152" s="5"/>
    </row>
    <row r="153" spans="1:64" ht="12.75">
      <c r="A153" s="7" t="s">
        <v>62</v>
      </c>
      <c r="B153" s="16" t="s">
        <v>180</v>
      </c>
      <c r="C153" s="247" t="s">
        <v>344</v>
      </c>
      <c r="D153" s="248"/>
      <c r="E153" s="16" t="s">
        <v>510</v>
      </c>
      <c r="F153" s="28">
        <v>5</v>
      </c>
      <c r="G153" s="156">
        <v>0</v>
      </c>
      <c r="H153" s="28">
        <f>F153*AO153</f>
        <v>0</v>
      </c>
      <c r="I153" s="28">
        <f>F153*AP153</f>
        <v>0</v>
      </c>
      <c r="J153" s="28">
        <f>F153*G153</f>
        <v>0</v>
      </c>
      <c r="K153" s="28">
        <v>0.0004</v>
      </c>
      <c r="L153" s="28">
        <f>F153*K153</f>
        <v>0.002</v>
      </c>
      <c r="M153" s="44"/>
      <c r="N153" s="5"/>
      <c r="Z153" s="47">
        <f>IF(AQ153="5",BJ153,0)</f>
        <v>0</v>
      </c>
      <c r="AB153" s="47">
        <f>IF(AQ153="1",BH153,0)</f>
        <v>0</v>
      </c>
      <c r="AC153" s="47">
        <f>IF(AQ153="1",BI153,0)</f>
        <v>0</v>
      </c>
      <c r="AD153" s="47">
        <f>IF(AQ153="7",BH153,0)</f>
        <v>0</v>
      </c>
      <c r="AE153" s="47">
        <f>IF(AQ153="7",BI153,0)</f>
        <v>0</v>
      </c>
      <c r="AF153" s="47">
        <f>IF(AQ153="2",BH153,0)</f>
        <v>0</v>
      </c>
      <c r="AG153" s="47">
        <f>IF(AQ153="2",BI153,0)</f>
        <v>0</v>
      </c>
      <c r="AH153" s="47">
        <f>IF(AQ153="0",BJ153,0)</f>
        <v>0</v>
      </c>
      <c r="AI153" s="37"/>
      <c r="AJ153" s="28">
        <f>IF(AN153=0,J153,0)</f>
        <v>0</v>
      </c>
      <c r="AK153" s="28">
        <f>IF(AN153=15,J153,0)</f>
        <v>0</v>
      </c>
      <c r="AL153" s="28">
        <f>IF(AN153=21,J153,0)</f>
        <v>0</v>
      </c>
      <c r="AN153" s="47">
        <v>21</v>
      </c>
      <c r="AO153" s="47">
        <f>G153*1</f>
        <v>0</v>
      </c>
      <c r="AP153" s="47">
        <f>G153*(1-1)</f>
        <v>0</v>
      </c>
      <c r="AQ153" s="49" t="s">
        <v>13</v>
      </c>
      <c r="AV153" s="47">
        <f>AW153+AX153</f>
        <v>0</v>
      </c>
      <c r="AW153" s="47">
        <f>F153*AO153</f>
        <v>0</v>
      </c>
      <c r="AX153" s="47">
        <f>F153*AP153</f>
        <v>0</v>
      </c>
      <c r="AY153" s="50" t="s">
        <v>548</v>
      </c>
      <c r="AZ153" s="50" t="s">
        <v>565</v>
      </c>
      <c r="BA153" s="37" t="s">
        <v>571</v>
      </c>
      <c r="BC153" s="47">
        <f>AW153+AX153</f>
        <v>0</v>
      </c>
      <c r="BD153" s="47">
        <f>G153/(100-BE153)*100</f>
        <v>0</v>
      </c>
      <c r="BE153" s="47">
        <v>0</v>
      </c>
      <c r="BF153" s="47">
        <f>L153</f>
        <v>0.002</v>
      </c>
      <c r="BH153" s="28">
        <f>F153*AO153</f>
        <v>0</v>
      </c>
      <c r="BI153" s="28">
        <f>F153*AP153</f>
        <v>0</v>
      </c>
      <c r="BJ153" s="28">
        <f>F153*G153</f>
        <v>0</v>
      </c>
      <c r="BK153" s="28" t="s">
        <v>577</v>
      </c>
      <c r="BL153" s="47">
        <v>725</v>
      </c>
    </row>
    <row r="154" spans="1:14" ht="12.75">
      <c r="A154" s="5"/>
      <c r="C154" s="18" t="s">
        <v>11</v>
      </c>
      <c r="D154" s="20"/>
      <c r="F154" s="27">
        <v>5</v>
      </c>
      <c r="M154" s="42"/>
      <c r="N154" s="5"/>
    </row>
    <row r="155" spans="1:64" ht="12.75">
      <c r="A155" s="7" t="s">
        <v>63</v>
      </c>
      <c r="B155" s="16" t="s">
        <v>181</v>
      </c>
      <c r="C155" s="247" t="s">
        <v>345</v>
      </c>
      <c r="D155" s="248"/>
      <c r="E155" s="16" t="s">
        <v>510</v>
      </c>
      <c r="F155" s="28">
        <v>3</v>
      </c>
      <c r="G155" s="156">
        <v>0</v>
      </c>
      <c r="H155" s="28">
        <f>F155*AO155</f>
        <v>0</v>
      </c>
      <c r="I155" s="28">
        <f>F155*AP155</f>
        <v>0</v>
      </c>
      <c r="J155" s="28">
        <f>F155*G155</f>
        <v>0</v>
      </c>
      <c r="K155" s="28">
        <v>0.0004</v>
      </c>
      <c r="L155" s="28">
        <f>F155*K155</f>
        <v>0.0012000000000000001</v>
      </c>
      <c r="M155" s="44"/>
      <c r="N155" s="5"/>
      <c r="Z155" s="47">
        <f>IF(AQ155="5",BJ155,0)</f>
        <v>0</v>
      </c>
      <c r="AB155" s="47">
        <f>IF(AQ155="1",BH155,0)</f>
        <v>0</v>
      </c>
      <c r="AC155" s="47">
        <f>IF(AQ155="1",BI155,0)</f>
        <v>0</v>
      </c>
      <c r="AD155" s="47">
        <f>IF(AQ155="7",BH155,0)</f>
        <v>0</v>
      </c>
      <c r="AE155" s="47">
        <f>IF(AQ155="7",BI155,0)</f>
        <v>0</v>
      </c>
      <c r="AF155" s="47">
        <f>IF(AQ155="2",BH155,0)</f>
        <v>0</v>
      </c>
      <c r="AG155" s="47">
        <f>IF(AQ155="2",BI155,0)</f>
        <v>0</v>
      </c>
      <c r="AH155" s="47">
        <f>IF(AQ155="0",BJ155,0)</f>
        <v>0</v>
      </c>
      <c r="AI155" s="37"/>
      <c r="AJ155" s="28">
        <f>IF(AN155=0,J155,0)</f>
        <v>0</v>
      </c>
      <c r="AK155" s="28">
        <f>IF(AN155=15,J155,0)</f>
        <v>0</v>
      </c>
      <c r="AL155" s="28">
        <f>IF(AN155=21,J155,0)</f>
        <v>0</v>
      </c>
      <c r="AN155" s="47">
        <v>21</v>
      </c>
      <c r="AO155" s="47">
        <f>G155*1</f>
        <v>0</v>
      </c>
      <c r="AP155" s="47">
        <f>G155*(1-1)</f>
        <v>0</v>
      </c>
      <c r="AQ155" s="49" t="s">
        <v>13</v>
      </c>
      <c r="AV155" s="47">
        <f>AW155+AX155</f>
        <v>0</v>
      </c>
      <c r="AW155" s="47">
        <f>F155*AO155</f>
        <v>0</v>
      </c>
      <c r="AX155" s="47">
        <f>F155*AP155</f>
        <v>0</v>
      </c>
      <c r="AY155" s="50" t="s">
        <v>548</v>
      </c>
      <c r="AZ155" s="50" t="s">
        <v>565</v>
      </c>
      <c r="BA155" s="37" t="s">
        <v>571</v>
      </c>
      <c r="BC155" s="47">
        <f>AW155+AX155</f>
        <v>0</v>
      </c>
      <c r="BD155" s="47">
        <f>G155/(100-BE155)*100</f>
        <v>0</v>
      </c>
      <c r="BE155" s="47">
        <v>0</v>
      </c>
      <c r="BF155" s="47">
        <f>L155</f>
        <v>0.0012000000000000001</v>
      </c>
      <c r="BH155" s="28">
        <f>F155*AO155</f>
        <v>0</v>
      </c>
      <c r="BI155" s="28">
        <f>F155*AP155</f>
        <v>0</v>
      </c>
      <c r="BJ155" s="28">
        <f>F155*G155</f>
        <v>0</v>
      </c>
      <c r="BK155" s="28" t="s">
        <v>577</v>
      </c>
      <c r="BL155" s="47">
        <v>725</v>
      </c>
    </row>
    <row r="156" spans="1:14" ht="12.75">
      <c r="A156" s="5"/>
      <c r="C156" s="18" t="s">
        <v>9</v>
      </c>
      <c r="D156" s="20" t="s">
        <v>477</v>
      </c>
      <c r="F156" s="27">
        <v>3</v>
      </c>
      <c r="M156" s="42"/>
      <c r="N156" s="5"/>
    </row>
    <row r="157" spans="1:64" ht="12.75">
      <c r="A157" s="4" t="s">
        <v>64</v>
      </c>
      <c r="B157" s="14" t="s">
        <v>182</v>
      </c>
      <c r="C157" s="244" t="s">
        <v>346</v>
      </c>
      <c r="D157" s="245"/>
      <c r="E157" s="14" t="s">
        <v>506</v>
      </c>
      <c r="F157" s="26">
        <v>1</v>
      </c>
      <c r="G157" s="155">
        <v>0</v>
      </c>
      <c r="H157" s="26">
        <f>F157*AO157</f>
        <v>0</v>
      </c>
      <c r="I157" s="26">
        <f>F157*AP157</f>
        <v>0</v>
      </c>
      <c r="J157" s="26">
        <f>F157*G157</f>
        <v>0</v>
      </c>
      <c r="K157" s="26">
        <v>0.00031</v>
      </c>
      <c r="L157" s="26">
        <f>F157*K157</f>
        <v>0.00031</v>
      </c>
      <c r="M157" s="41" t="s">
        <v>683</v>
      </c>
      <c r="N157" s="5"/>
      <c r="Z157" s="47">
        <f>IF(AQ157="5",BJ157,0)</f>
        <v>0</v>
      </c>
      <c r="AB157" s="47">
        <f>IF(AQ157="1",BH157,0)</f>
        <v>0</v>
      </c>
      <c r="AC157" s="47">
        <f>IF(AQ157="1",BI157,0)</f>
        <v>0</v>
      </c>
      <c r="AD157" s="47">
        <f>IF(AQ157="7",BH157,0)</f>
        <v>0</v>
      </c>
      <c r="AE157" s="47">
        <f>IF(AQ157="7",BI157,0)</f>
        <v>0</v>
      </c>
      <c r="AF157" s="47">
        <f>IF(AQ157="2",BH157,0)</f>
        <v>0</v>
      </c>
      <c r="AG157" s="47">
        <f>IF(AQ157="2",BI157,0)</f>
        <v>0</v>
      </c>
      <c r="AH157" s="47">
        <f>IF(AQ157="0",BJ157,0)</f>
        <v>0</v>
      </c>
      <c r="AI157" s="37"/>
      <c r="AJ157" s="26">
        <f>IF(AN157=0,J157,0)</f>
        <v>0</v>
      </c>
      <c r="AK157" s="26">
        <f>IF(AN157=15,J157,0)</f>
        <v>0</v>
      </c>
      <c r="AL157" s="26">
        <f>IF(AN157=21,J157,0)</f>
        <v>0</v>
      </c>
      <c r="AN157" s="47">
        <v>21</v>
      </c>
      <c r="AO157" s="47">
        <f>G157*0.829052333804809</f>
        <v>0</v>
      </c>
      <c r="AP157" s="47">
        <f>G157*(1-0.829052333804809)</f>
        <v>0</v>
      </c>
      <c r="AQ157" s="48" t="s">
        <v>13</v>
      </c>
      <c r="AV157" s="47">
        <f>AW157+AX157</f>
        <v>0</v>
      </c>
      <c r="AW157" s="47">
        <f>F157*AO157</f>
        <v>0</v>
      </c>
      <c r="AX157" s="47">
        <f>F157*AP157</f>
        <v>0</v>
      </c>
      <c r="AY157" s="50" t="s">
        <v>548</v>
      </c>
      <c r="AZ157" s="50" t="s">
        <v>565</v>
      </c>
      <c r="BA157" s="37" t="s">
        <v>571</v>
      </c>
      <c r="BC157" s="47">
        <f>AW157+AX157</f>
        <v>0</v>
      </c>
      <c r="BD157" s="47">
        <f>G157/(100-BE157)*100</f>
        <v>0</v>
      </c>
      <c r="BE157" s="47">
        <v>0</v>
      </c>
      <c r="BF157" s="47">
        <f>L157</f>
        <v>0.00031</v>
      </c>
      <c r="BH157" s="26">
        <f>F157*AO157</f>
        <v>0</v>
      </c>
      <c r="BI157" s="26">
        <f>F157*AP157</f>
        <v>0</v>
      </c>
      <c r="BJ157" s="26">
        <f>F157*G157</f>
        <v>0</v>
      </c>
      <c r="BK157" s="26" t="s">
        <v>576</v>
      </c>
      <c r="BL157" s="47">
        <v>725</v>
      </c>
    </row>
    <row r="158" spans="1:14" ht="12.75">
      <c r="A158" s="5"/>
      <c r="C158" s="18" t="s">
        <v>7</v>
      </c>
      <c r="D158" s="20" t="s">
        <v>477</v>
      </c>
      <c r="F158" s="27">
        <v>1</v>
      </c>
      <c r="M158" s="42"/>
      <c r="N158" s="5"/>
    </row>
    <row r="159" spans="1:64" ht="12.75">
      <c r="A159" s="4" t="s">
        <v>65</v>
      </c>
      <c r="B159" s="14" t="s">
        <v>183</v>
      </c>
      <c r="C159" s="244" t="s">
        <v>347</v>
      </c>
      <c r="D159" s="245"/>
      <c r="E159" s="14" t="s">
        <v>509</v>
      </c>
      <c r="F159" s="26">
        <v>2</v>
      </c>
      <c r="G159" s="155">
        <v>0</v>
      </c>
      <c r="H159" s="26">
        <f>F159*AO159</f>
        <v>0</v>
      </c>
      <c r="I159" s="26">
        <f>F159*AP159</f>
        <v>0</v>
      </c>
      <c r="J159" s="26">
        <f>F159*G159</f>
        <v>0</v>
      </c>
      <c r="K159" s="26">
        <v>0.0013</v>
      </c>
      <c r="L159" s="26">
        <f>F159*K159</f>
        <v>0.0026</v>
      </c>
      <c r="M159" s="41" t="s">
        <v>683</v>
      </c>
      <c r="N159" s="5"/>
      <c r="Z159" s="47">
        <f>IF(AQ159="5",BJ159,0)</f>
        <v>0</v>
      </c>
      <c r="AB159" s="47">
        <f>IF(AQ159="1",BH159,0)</f>
        <v>0</v>
      </c>
      <c r="AC159" s="47">
        <f>IF(AQ159="1",BI159,0)</f>
        <v>0</v>
      </c>
      <c r="AD159" s="47">
        <f>IF(AQ159="7",BH159,0)</f>
        <v>0</v>
      </c>
      <c r="AE159" s="47">
        <f>IF(AQ159="7",BI159,0)</f>
        <v>0</v>
      </c>
      <c r="AF159" s="47">
        <f>IF(AQ159="2",BH159,0)</f>
        <v>0</v>
      </c>
      <c r="AG159" s="47">
        <f>IF(AQ159="2",BI159,0)</f>
        <v>0</v>
      </c>
      <c r="AH159" s="47">
        <f>IF(AQ159="0",BJ159,0)</f>
        <v>0</v>
      </c>
      <c r="AI159" s="37"/>
      <c r="AJ159" s="26">
        <f>IF(AN159=0,J159,0)</f>
        <v>0</v>
      </c>
      <c r="AK159" s="26">
        <f>IF(AN159=15,J159,0)</f>
        <v>0</v>
      </c>
      <c r="AL159" s="26">
        <f>IF(AN159=21,J159,0)</f>
        <v>0</v>
      </c>
      <c r="AN159" s="47">
        <v>21</v>
      </c>
      <c r="AO159" s="47">
        <f>G159*0.87008635306743</f>
        <v>0</v>
      </c>
      <c r="AP159" s="47">
        <f>G159*(1-0.87008635306743)</f>
        <v>0</v>
      </c>
      <c r="AQ159" s="48" t="s">
        <v>13</v>
      </c>
      <c r="AV159" s="47">
        <f>AW159+AX159</f>
        <v>0</v>
      </c>
      <c r="AW159" s="47">
        <f>F159*AO159</f>
        <v>0</v>
      </c>
      <c r="AX159" s="47">
        <f>F159*AP159</f>
        <v>0</v>
      </c>
      <c r="AY159" s="50" t="s">
        <v>548</v>
      </c>
      <c r="AZ159" s="50" t="s">
        <v>565</v>
      </c>
      <c r="BA159" s="37" t="s">
        <v>571</v>
      </c>
      <c r="BC159" s="47">
        <f>AW159+AX159</f>
        <v>0</v>
      </c>
      <c r="BD159" s="47">
        <f>G159/(100-BE159)*100</f>
        <v>0</v>
      </c>
      <c r="BE159" s="47">
        <v>0</v>
      </c>
      <c r="BF159" s="47">
        <f>L159</f>
        <v>0.0026</v>
      </c>
      <c r="BH159" s="26">
        <f>F159*AO159</f>
        <v>0</v>
      </c>
      <c r="BI159" s="26">
        <f>F159*AP159</f>
        <v>0</v>
      </c>
      <c r="BJ159" s="26">
        <f>F159*G159</f>
        <v>0</v>
      </c>
      <c r="BK159" s="26" t="s">
        <v>576</v>
      </c>
      <c r="BL159" s="47">
        <v>725</v>
      </c>
    </row>
    <row r="160" spans="1:14" ht="12.75">
      <c r="A160" s="5"/>
      <c r="C160" s="18" t="s">
        <v>8</v>
      </c>
      <c r="D160" s="20" t="s">
        <v>477</v>
      </c>
      <c r="F160" s="27">
        <v>2</v>
      </c>
      <c r="M160" s="42"/>
      <c r="N160" s="5"/>
    </row>
    <row r="161" spans="1:64" ht="12.75">
      <c r="A161" s="4" t="s">
        <v>66</v>
      </c>
      <c r="B161" s="14" t="s">
        <v>184</v>
      </c>
      <c r="C161" s="244" t="s">
        <v>348</v>
      </c>
      <c r="D161" s="245"/>
      <c r="E161" s="14" t="s">
        <v>509</v>
      </c>
      <c r="F161" s="26">
        <v>1</v>
      </c>
      <c r="G161" s="155">
        <v>0</v>
      </c>
      <c r="H161" s="26">
        <f>F161*AO161</f>
        <v>0</v>
      </c>
      <c r="I161" s="26">
        <f>F161*AP161</f>
        <v>0</v>
      </c>
      <c r="J161" s="26">
        <f>F161*G161</f>
        <v>0</v>
      </c>
      <c r="K161" s="26">
        <v>0.0022</v>
      </c>
      <c r="L161" s="26">
        <f>F161*K161</f>
        <v>0.0022</v>
      </c>
      <c r="M161" s="41" t="s">
        <v>683</v>
      </c>
      <c r="N161" s="5"/>
      <c r="Z161" s="47">
        <f>IF(AQ161="5",BJ161,0)</f>
        <v>0</v>
      </c>
      <c r="AB161" s="47">
        <f>IF(AQ161="1",BH161,0)</f>
        <v>0</v>
      </c>
      <c r="AC161" s="47">
        <f>IF(AQ161="1",BI161,0)</f>
        <v>0</v>
      </c>
      <c r="AD161" s="47">
        <f>IF(AQ161="7",BH161,0)</f>
        <v>0</v>
      </c>
      <c r="AE161" s="47">
        <f>IF(AQ161="7",BI161,0)</f>
        <v>0</v>
      </c>
      <c r="AF161" s="47">
        <f>IF(AQ161="2",BH161,0)</f>
        <v>0</v>
      </c>
      <c r="AG161" s="47">
        <f>IF(AQ161="2",BI161,0)</f>
        <v>0</v>
      </c>
      <c r="AH161" s="47">
        <f>IF(AQ161="0",BJ161,0)</f>
        <v>0</v>
      </c>
      <c r="AI161" s="37"/>
      <c r="AJ161" s="26">
        <f>IF(AN161=0,J161,0)</f>
        <v>0</v>
      </c>
      <c r="AK161" s="26">
        <f>IF(AN161=15,J161,0)</f>
        <v>0</v>
      </c>
      <c r="AL161" s="26">
        <f>IF(AN161=21,J161,0)</f>
        <v>0</v>
      </c>
      <c r="AN161" s="47">
        <v>21</v>
      </c>
      <c r="AO161" s="47">
        <f>G161*0.930723562152134</f>
        <v>0</v>
      </c>
      <c r="AP161" s="47">
        <f>G161*(1-0.930723562152134)</f>
        <v>0</v>
      </c>
      <c r="AQ161" s="48" t="s">
        <v>13</v>
      </c>
      <c r="AV161" s="47">
        <f>AW161+AX161</f>
        <v>0</v>
      </c>
      <c r="AW161" s="47">
        <f>F161*AO161</f>
        <v>0</v>
      </c>
      <c r="AX161" s="47">
        <f>F161*AP161</f>
        <v>0</v>
      </c>
      <c r="AY161" s="50" t="s">
        <v>548</v>
      </c>
      <c r="AZ161" s="50" t="s">
        <v>565</v>
      </c>
      <c r="BA161" s="37" t="s">
        <v>571</v>
      </c>
      <c r="BC161" s="47">
        <f>AW161+AX161</f>
        <v>0</v>
      </c>
      <c r="BD161" s="47">
        <f>G161/(100-BE161)*100</f>
        <v>0</v>
      </c>
      <c r="BE161" s="47">
        <v>0</v>
      </c>
      <c r="BF161" s="47">
        <f>L161</f>
        <v>0.0022</v>
      </c>
      <c r="BH161" s="26">
        <f>F161*AO161</f>
        <v>0</v>
      </c>
      <c r="BI161" s="26">
        <f>F161*AP161</f>
        <v>0</v>
      </c>
      <c r="BJ161" s="26">
        <f>F161*G161</f>
        <v>0</v>
      </c>
      <c r="BK161" s="26" t="s">
        <v>576</v>
      </c>
      <c r="BL161" s="47">
        <v>725</v>
      </c>
    </row>
    <row r="162" spans="1:14" ht="12.75">
      <c r="A162" s="5"/>
      <c r="C162" s="18" t="s">
        <v>7</v>
      </c>
      <c r="D162" s="20" t="s">
        <v>477</v>
      </c>
      <c r="F162" s="27">
        <v>1</v>
      </c>
      <c r="M162" s="42"/>
      <c r="N162" s="5"/>
    </row>
    <row r="163" spans="1:64" ht="12.75">
      <c r="A163" s="4" t="s">
        <v>67</v>
      </c>
      <c r="B163" s="14" t="s">
        <v>185</v>
      </c>
      <c r="C163" s="244" t="s">
        <v>349</v>
      </c>
      <c r="D163" s="245"/>
      <c r="E163" s="14" t="s">
        <v>507</v>
      </c>
      <c r="F163" s="26">
        <v>0.25089</v>
      </c>
      <c r="G163" s="155">
        <v>0</v>
      </c>
      <c r="H163" s="26">
        <f>F163*AO163</f>
        <v>0</v>
      </c>
      <c r="I163" s="26">
        <f>F163*AP163</f>
        <v>0</v>
      </c>
      <c r="J163" s="26">
        <f>F163*G163</f>
        <v>0</v>
      </c>
      <c r="K163" s="26">
        <v>0</v>
      </c>
      <c r="L163" s="26">
        <f>F163*K163</f>
        <v>0</v>
      </c>
      <c r="M163" s="41" t="s">
        <v>683</v>
      </c>
      <c r="N163" s="5"/>
      <c r="Z163" s="47">
        <f>IF(AQ163="5",BJ163,0)</f>
        <v>0</v>
      </c>
      <c r="AB163" s="47">
        <f>IF(AQ163="1",BH163,0)</f>
        <v>0</v>
      </c>
      <c r="AC163" s="47">
        <f>IF(AQ163="1",BI163,0)</f>
        <v>0</v>
      </c>
      <c r="AD163" s="47">
        <f>IF(AQ163="7",BH163,0)</f>
        <v>0</v>
      </c>
      <c r="AE163" s="47">
        <f>IF(AQ163="7",BI163,0)</f>
        <v>0</v>
      </c>
      <c r="AF163" s="47">
        <f>IF(AQ163="2",BH163,0)</f>
        <v>0</v>
      </c>
      <c r="AG163" s="47">
        <f>IF(AQ163="2",BI163,0)</f>
        <v>0</v>
      </c>
      <c r="AH163" s="47">
        <f>IF(AQ163="0",BJ163,0)</f>
        <v>0</v>
      </c>
      <c r="AI163" s="37"/>
      <c r="AJ163" s="26">
        <f>IF(AN163=0,J163,0)</f>
        <v>0</v>
      </c>
      <c r="AK163" s="26">
        <f>IF(AN163=15,J163,0)</f>
        <v>0</v>
      </c>
      <c r="AL163" s="26">
        <f>IF(AN163=21,J163,0)</f>
        <v>0</v>
      </c>
      <c r="AN163" s="47">
        <v>21</v>
      </c>
      <c r="AO163" s="47">
        <f>G163*0</f>
        <v>0</v>
      </c>
      <c r="AP163" s="47">
        <f>G163*(1-0)</f>
        <v>0</v>
      </c>
      <c r="AQ163" s="48" t="s">
        <v>11</v>
      </c>
      <c r="AV163" s="47">
        <f>AW163+AX163</f>
        <v>0</v>
      </c>
      <c r="AW163" s="47">
        <f>F163*AO163</f>
        <v>0</v>
      </c>
      <c r="AX163" s="47">
        <f>F163*AP163</f>
        <v>0</v>
      </c>
      <c r="AY163" s="50" t="s">
        <v>548</v>
      </c>
      <c r="AZ163" s="50" t="s">
        <v>565</v>
      </c>
      <c r="BA163" s="37" t="s">
        <v>571</v>
      </c>
      <c r="BC163" s="47">
        <f>AW163+AX163</f>
        <v>0</v>
      </c>
      <c r="BD163" s="47">
        <f>G163/(100-BE163)*100</f>
        <v>0</v>
      </c>
      <c r="BE163" s="47">
        <v>0</v>
      </c>
      <c r="BF163" s="47">
        <f>L163</f>
        <v>0</v>
      </c>
      <c r="BH163" s="26">
        <f>F163*AO163</f>
        <v>0</v>
      </c>
      <c r="BI163" s="26">
        <f>F163*AP163</f>
        <v>0</v>
      </c>
      <c r="BJ163" s="26">
        <f>F163*G163</f>
        <v>0</v>
      </c>
      <c r="BK163" s="26" t="s">
        <v>576</v>
      </c>
      <c r="BL163" s="47">
        <v>725</v>
      </c>
    </row>
    <row r="164" spans="1:47" ht="12.75">
      <c r="A164" s="6"/>
      <c r="B164" s="15" t="s">
        <v>186</v>
      </c>
      <c r="C164" s="249" t="s">
        <v>350</v>
      </c>
      <c r="D164" s="250"/>
      <c r="E164" s="24" t="s">
        <v>6</v>
      </c>
      <c r="F164" s="24" t="s">
        <v>6</v>
      </c>
      <c r="G164" s="24" t="s">
        <v>6</v>
      </c>
      <c r="H164" s="53">
        <f>SUM(H165:H173)</f>
        <v>0</v>
      </c>
      <c r="I164" s="53">
        <f>SUM(I165:I173)</f>
        <v>0</v>
      </c>
      <c r="J164" s="53">
        <f>SUM(J165:J173)</f>
        <v>0</v>
      </c>
      <c r="K164" s="37"/>
      <c r="L164" s="53">
        <f>SUM(L165:L173)</f>
        <v>0.0164</v>
      </c>
      <c r="M164" s="43"/>
      <c r="N164" s="5"/>
      <c r="AI164" s="37"/>
      <c r="AS164" s="53">
        <f>SUM(AJ165:AJ173)</f>
        <v>0</v>
      </c>
      <c r="AT164" s="53">
        <f>SUM(AK165:AK173)</f>
        <v>0</v>
      </c>
      <c r="AU164" s="53">
        <f>SUM(AL165:AL173)</f>
        <v>0</v>
      </c>
    </row>
    <row r="165" spans="1:64" ht="12.75">
      <c r="A165" s="4" t="s">
        <v>68</v>
      </c>
      <c r="B165" s="14" t="s">
        <v>187</v>
      </c>
      <c r="C165" s="244" t="s">
        <v>351</v>
      </c>
      <c r="D165" s="245"/>
      <c r="E165" s="14" t="s">
        <v>508</v>
      </c>
      <c r="F165" s="26">
        <v>10</v>
      </c>
      <c r="G165" s="155">
        <v>0</v>
      </c>
      <c r="H165" s="26">
        <f>F165*AO165</f>
        <v>0</v>
      </c>
      <c r="I165" s="26">
        <f>F165*AP165</f>
        <v>0</v>
      </c>
      <c r="J165" s="26">
        <f>F165*G165</f>
        <v>0</v>
      </c>
      <c r="K165" s="26">
        <v>0</v>
      </c>
      <c r="L165" s="26">
        <f>F165*K165</f>
        <v>0</v>
      </c>
      <c r="M165" s="41" t="s">
        <v>683</v>
      </c>
      <c r="N165" s="5"/>
      <c r="Z165" s="47">
        <f>IF(AQ165="5",BJ165,0)</f>
        <v>0</v>
      </c>
      <c r="AB165" s="47">
        <f>IF(AQ165="1",BH165,0)</f>
        <v>0</v>
      </c>
      <c r="AC165" s="47">
        <f>IF(AQ165="1",BI165,0)</f>
        <v>0</v>
      </c>
      <c r="AD165" s="47">
        <f>IF(AQ165="7",BH165,0)</f>
        <v>0</v>
      </c>
      <c r="AE165" s="47">
        <f>IF(AQ165="7",BI165,0)</f>
        <v>0</v>
      </c>
      <c r="AF165" s="47">
        <f>IF(AQ165="2",BH165,0)</f>
        <v>0</v>
      </c>
      <c r="AG165" s="47">
        <f>IF(AQ165="2",BI165,0)</f>
        <v>0</v>
      </c>
      <c r="AH165" s="47">
        <f>IF(AQ165="0",BJ165,0)</f>
        <v>0</v>
      </c>
      <c r="AI165" s="37"/>
      <c r="AJ165" s="26">
        <f>IF(AN165=0,J165,0)</f>
        <v>0</v>
      </c>
      <c r="AK165" s="26">
        <f>IF(AN165=15,J165,0)</f>
        <v>0</v>
      </c>
      <c r="AL165" s="26">
        <f>IF(AN165=21,J165,0)</f>
        <v>0</v>
      </c>
      <c r="AN165" s="47">
        <v>21</v>
      </c>
      <c r="AO165" s="47">
        <f>G165*0</f>
        <v>0</v>
      </c>
      <c r="AP165" s="47">
        <f>G165*(1-0)</f>
        <v>0</v>
      </c>
      <c r="AQ165" s="48" t="s">
        <v>13</v>
      </c>
      <c r="AV165" s="47">
        <f>AW165+AX165</f>
        <v>0</v>
      </c>
      <c r="AW165" s="47">
        <f>F165*AO165</f>
        <v>0</v>
      </c>
      <c r="AX165" s="47">
        <f>F165*AP165</f>
        <v>0</v>
      </c>
      <c r="AY165" s="50" t="s">
        <v>549</v>
      </c>
      <c r="AZ165" s="50" t="s">
        <v>565</v>
      </c>
      <c r="BA165" s="37" t="s">
        <v>571</v>
      </c>
      <c r="BC165" s="47">
        <f>AW165+AX165</f>
        <v>0</v>
      </c>
      <c r="BD165" s="47">
        <f>G165/(100-BE165)*100</f>
        <v>0</v>
      </c>
      <c r="BE165" s="47">
        <v>0</v>
      </c>
      <c r="BF165" s="47">
        <f>L165</f>
        <v>0</v>
      </c>
      <c r="BH165" s="26">
        <f>F165*AO165</f>
        <v>0</v>
      </c>
      <c r="BI165" s="26">
        <f>F165*AP165</f>
        <v>0</v>
      </c>
      <c r="BJ165" s="26">
        <f>F165*G165</f>
        <v>0</v>
      </c>
      <c r="BK165" s="26" t="s">
        <v>576</v>
      </c>
      <c r="BL165" s="47">
        <v>728</v>
      </c>
    </row>
    <row r="166" spans="1:14" ht="12.75">
      <c r="A166" s="5"/>
      <c r="C166" s="18" t="s">
        <v>16</v>
      </c>
      <c r="D166" s="20" t="s">
        <v>478</v>
      </c>
      <c r="F166" s="27">
        <v>10</v>
      </c>
      <c r="M166" s="42"/>
      <c r="N166" s="5"/>
    </row>
    <row r="167" spans="1:64" ht="12.75">
      <c r="A167" s="7" t="s">
        <v>69</v>
      </c>
      <c r="B167" s="16" t="s">
        <v>188</v>
      </c>
      <c r="C167" s="247" t="s">
        <v>352</v>
      </c>
      <c r="D167" s="248"/>
      <c r="E167" s="16" t="s">
        <v>510</v>
      </c>
      <c r="F167" s="28">
        <v>2</v>
      </c>
      <c r="G167" s="156">
        <v>0</v>
      </c>
      <c r="H167" s="28">
        <f>F167*AO167</f>
        <v>0</v>
      </c>
      <c r="I167" s="28">
        <f>F167*AP167</f>
        <v>0</v>
      </c>
      <c r="J167" s="28">
        <f>F167*G167</f>
        <v>0</v>
      </c>
      <c r="K167" s="28">
        <v>0.0006</v>
      </c>
      <c r="L167" s="28">
        <f>F167*K167</f>
        <v>0.0012</v>
      </c>
      <c r="M167" s="44"/>
      <c r="N167" s="5"/>
      <c r="Z167" s="47">
        <f>IF(AQ167="5",BJ167,0)</f>
        <v>0</v>
      </c>
      <c r="AB167" s="47">
        <f>IF(AQ167="1",BH167,0)</f>
        <v>0</v>
      </c>
      <c r="AC167" s="47">
        <f>IF(AQ167="1",BI167,0)</f>
        <v>0</v>
      </c>
      <c r="AD167" s="47">
        <f>IF(AQ167="7",BH167,0)</f>
        <v>0</v>
      </c>
      <c r="AE167" s="47">
        <f>IF(AQ167="7",BI167,0)</f>
        <v>0</v>
      </c>
      <c r="AF167" s="47">
        <f>IF(AQ167="2",BH167,0)</f>
        <v>0</v>
      </c>
      <c r="AG167" s="47">
        <f>IF(AQ167="2",BI167,0)</f>
        <v>0</v>
      </c>
      <c r="AH167" s="47">
        <f>IF(AQ167="0",BJ167,0)</f>
        <v>0</v>
      </c>
      <c r="AI167" s="37"/>
      <c r="AJ167" s="28">
        <f>IF(AN167=0,J167,0)</f>
        <v>0</v>
      </c>
      <c r="AK167" s="28">
        <f>IF(AN167=15,J167,0)</f>
        <v>0</v>
      </c>
      <c r="AL167" s="28">
        <f>IF(AN167=21,J167,0)</f>
        <v>0</v>
      </c>
      <c r="AN167" s="47">
        <v>21</v>
      </c>
      <c r="AO167" s="47">
        <f>G167*1</f>
        <v>0</v>
      </c>
      <c r="AP167" s="47">
        <f>G167*(1-1)</f>
        <v>0</v>
      </c>
      <c r="AQ167" s="49" t="s">
        <v>13</v>
      </c>
      <c r="AV167" s="47">
        <f>AW167+AX167</f>
        <v>0</v>
      </c>
      <c r="AW167" s="47">
        <f>F167*AO167</f>
        <v>0</v>
      </c>
      <c r="AX167" s="47">
        <f>F167*AP167</f>
        <v>0</v>
      </c>
      <c r="AY167" s="50" t="s">
        <v>549</v>
      </c>
      <c r="AZ167" s="50" t="s">
        <v>565</v>
      </c>
      <c r="BA167" s="37" t="s">
        <v>571</v>
      </c>
      <c r="BC167" s="47">
        <f>AW167+AX167</f>
        <v>0</v>
      </c>
      <c r="BD167" s="47">
        <f>G167/(100-BE167)*100</f>
        <v>0</v>
      </c>
      <c r="BE167" s="47">
        <v>0</v>
      </c>
      <c r="BF167" s="47">
        <f>L167</f>
        <v>0.0012</v>
      </c>
      <c r="BH167" s="28">
        <f>F167*AO167</f>
        <v>0</v>
      </c>
      <c r="BI167" s="28">
        <f>F167*AP167</f>
        <v>0</v>
      </c>
      <c r="BJ167" s="28">
        <f>F167*G167</f>
        <v>0</v>
      </c>
      <c r="BK167" s="28" t="s">
        <v>577</v>
      </c>
      <c r="BL167" s="47">
        <v>728</v>
      </c>
    </row>
    <row r="168" spans="1:14" ht="12.75">
      <c r="A168" s="5"/>
      <c r="C168" s="18" t="s">
        <v>8</v>
      </c>
      <c r="D168" s="20" t="s">
        <v>478</v>
      </c>
      <c r="F168" s="27">
        <v>2</v>
      </c>
      <c r="M168" s="42"/>
      <c r="N168" s="5"/>
    </row>
    <row r="169" spans="1:64" ht="12.75">
      <c r="A169" s="4" t="s">
        <v>70</v>
      </c>
      <c r="B169" s="14" t="s">
        <v>189</v>
      </c>
      <c r="C169" s="244" t="s">
        <v>353</v>
      </c>
      <c r="D169" s="245"/>
      <c r="E169" s="14" t="s">
        <v>506</v>
      </c>
      <c r="F169" s="26">
        <v>2</v>
      </c>
      <c r="G169" s="155">
        <v>0</v>
      </c>
      <c r="H169" s="26">
        <f>F169*AO169</f>
        <v>0</v>
      </c>
      <c r="I169" s="26">
        <f>F169*AP169</f>
        <v>0</v>
      </c>
      <c r="J169" s="26">
        <f>F169*G169</f>
        <v>0</v>
      </c>
      <c r="K169" s="26">
        <v>0</v>
      </c>
      <c r="L169" s="26">
        <f>F169*K169</f>
        <v>0</v>
      </c>
      <c r="M169" s="41" t="s">
        <v>683</v>
      </c>
      <c r="N169" s="5"/>
      <c r="Z169" s="47">
        <f>IF(AQ169="5",BJ169,0)</f>
        <v>0</v>
      </c>
      <c r="AB169" s="47">
        <f>IF(AQ169="1",BH169,0)</f>
        <v>0</v>
      </c>
      <c r="AC169" s="47">
        <f>IF(AQ169="1",BI169,0)</f>
        <v>0</v>
      </c>
      <c r="AD169" s="47">
        <f>IF(AQ169="7",BH169,0)</f>
        <v>0</v>
      </c>
      <c r="AE169" s="47">
        <f>IF(AQ169="7",BI169,0)</f>
        <v>0</v>
      </c>
      <c r="AF169" s="47">
        <f>IF(AQ169="2",BH169,0)</f>
        <v>0</v>
      </c>
      <c r="AG169" s="47">
        <f>IF(AQ169="2",BI169,0)</f>
        <v>0</v>
      </c>
      <c r="AH169" s="47">
        <f>IF(AQ169="0",BJ169,0)</f>
        <v>0</v>
      </c>
      <c r="AI169" s="37"/>
      <c r="AJ169" s="26">
        <f>IF(AN169=0,J169,0)</f>
        <v>0</v>
      </c>
      <c r="AK169" s="26">
        <f>IF(AN169=15,J169,0)</f>
        <v>0</v>
      </c>
      <c r="AL169" s="26">
        <f>IF(AN169=21,J169,0)</f>
        <v>0</v>
      </c>
      <c r="AN169" s="47">
        <v>21</v>
      </c>
      <c r="AO169" s="47">
        <f>G169*0</f>
        <v>0</v>
      </c>
      <c r="AP169" s="47">
        <f>G169*(1-0)</f>
        <v>0</v>
      </c>
      <c r="AQ169" s="48" t="s">
        <v>13</v>
      </c>
      <c r="AV169" s="47">
        <f>AW169+AX169</f>
        <v>0</v>
      </c>
      <c r="AW169" s="47">
        <f>F169*AO169</f>
        <v>0</v>
      </c>
      <c r="AX169" s="47">
        <f>F169*AP169</f>
        <v>0</v>
      </c>
      <c r="AY169" s="50" t="s">
        <v>549</v>
      </c>
      <c r="AZ169" s="50" t="s">
        <v>565</v>
      </c>
      <c r="BA169" s="37" t="s">
        <v>571</v>
      </c>
      <c r="BC169" s="47">
        <f>AW169+AX169</f>
        <v>0</v>
      </c>
      <c r="BD169" s="47">
        <f>G169/(100-BE169)*100</f>
        <v>0</v>
      </c>
      <c r="BE169" s="47">
        <v>0</v>
      </c>
      <c r="BF169" s="47">
        <f>L169</f>
        <v>0</v>
      </c>
      <c r="BH169" s="26">
        <f>F169*AO169</f>
        <v>0</v>
      </c>
      <c r="BI169" s="26">
        <f>F169*AP169</f>
        <v>0</v>
      </c>
      <c r="BJ169" s="26">
        <f>F169*G169</f>
        <v>0</v>
      </c>
      <c r="BK169" s="26" t="s">
        <v>576</v>
      </c>
      <c r="BL169" s="47">
        <v>728</v>
      </c>
    </row>
    <row r="170" spans="1:14" ht="12.75">
      <c r="A170" s="5"/>
      <c r="C170" s="18" t="s">
        <v>8</v>
      </c>
      <c r="D170" s="20" t="s">
        <v>478</v>
      </c>
      <c r="F170" s="27">
        <v>2</v>
      </c>
      <c r="M170" s="42"/>
      <c r="N170" s="5"/>
    </row>
    <row r="171" spans="1:64" ht="12.75">
      <c r="A171" s="4" t="s">
        <v>71</v>
      </c>
      <c r="B171" s="14" t="s">
        <v>136</v>
      </c>
      <c r="C171" s="244" t="s">
        <v>354</v>
      </c>
      <c r="D171" s="245"/>
      <c r="E171" s="14" t="s">
        <v>508</v>
      </c>
      <c r="F171" s="26">
        <v>10</v>
      </c>
      <c r="G171" s="155">
        <v>0</v>
      </c>
      <c r="H171" s="26">
        <f>F171*AO171</f>
        <v>0</v>
      </c>
      <c r="I171" s="26">
        <f>F171*AP171</f>
        <v>0</v>
      </c>
      <c r="J171" s="26">
        <f>F171*G171</f>
        <v>0</v>
      </c>
      <c r="K171" s="26">
        <v>0.00152</v>
      </c>
      <c r="L171" s="26">
        <f>F171*K171</f>
        <v>0.015200000000000002</v>
      </c>
      <c r="M171" s="41" t="s">
        <v>683</v>
      </c>
      <c r="N171" s="5"/>
      <c r="Z171" s="47">
        <f>IF(AQ171="5",BJ171,0)</f>
        <v>0</v>
      </c>
      <c r="AB171" s="47">
        <f>IF(AQ171="1",BH171,0)</f>
        <v>0</v>
      </c>
      <c r="AC171" s="47">
        <f>IF(AQ171="1",BI171,0)</f>
        <v>0</v>
      </c>
      <c r="AD171" s="47">
        <f>IF(AQ171="7",BH171,0)</f>
        <v>0</v>
      </c>
      <c r="AE171" s="47">
        <f>IF(AQ171="7",BI171,0)</f>
        <v>0</v>
      </c>
      <c r="AF171" s="47">
        <f>IF(AQ171="2",BH171,0)</f>
        <v>0</v>
      </c>
      <c r="AG171" s="47">
        <f>IF(AQ171="2",BI171,0)</f>
        <v>0</v>
      </c>
      <c r="AH171" s="47">
        <f>IF(AQ171="0",BJ171,0)</f>
        <v>0</v>
      </c>
      <c r="AI171" s="37"/>
      <c r="AJ171" s="26">
        <f>IF(AN171=0,J171,0)</f>
        <v>0</v>
      </c>
      <c r="AK171" s="26">
        <f>IF(AN171=15,J171,0)</f>
        <v>0</v>
      </c>
      <c r="AL171" s="26">
        <f>IF(AN171=21,J171,0)</f>
        <v>0</v>
      </c>
      <c r="AN171" s="47">
        <v>21</v>
      </c>
      <c r="AO171" s="47">
        <f>G171*0.310095808383234</f>
        <v>0</v>
      </c>
      <c r="AP171" s="47">
        <f>G171*(1-0.310095808383234)</f>
        <v>0</v>
      </c>
      <c r="AQ171" s="48" t="s">
        <v>13</v>
      </c>
      <c r="AV171" s="47">
        <f>AW171+AX171</f>
        <v>0</v>
      </c>
      <c r="AW171" s="47">
        <f>F171*AO171</f>
        <v>0</v>
      </c>
      <c r="AX171" s="47">
        <f>F171*AP171</f>
        <v>0</v>
      </c>
      <c r="AY171" s="50" t="s">
        <v>549</v>
      </c>
      <c r="AZ171" s="50" t="s">
        <v>565</v>
      </c>
      <c r="BA171" s="37" t="s">
        <v>571</v>
      </c>
      <c r="BC171" s="47">
        <f>AW171+AX171</f>
        <v>0</v>
      </c>
      <c r="BD171" s="47">
        <f>G171/(100-BE171)*100</f>
        <v>0</v>
      </c>
      <c r="BE171" s="47">
        <v>0</v>
      </c>
      <c r="BF171" s="47">
        <f>L171</f>
        <v>0.015200000000000002</v>
      </c>
      <c r="BH171" s="26">
        <f>F171*AO171</f>
        <v>0</v>
      </c>
      <c r="BI171" s="26">
        <f>F171*AP171</f>
        <v>0</v>
      </c>
      <c r="BJ171" s="26">
        <f>F171*G171</f>
        <v>0</v>
      </c>
      <c r="BK171" s="26" t="s">
        <v>576</v>
      </c>
      <c r="BL171" s="47">
        <v>728</v>
      </c>
    </row>
    <row r="172" spans="1:14" ht="12.75">
      <c r="A172" s="5"/>
      <c r="C172" s="18" t="s">
        <v>16</v>
      </c>
      <c r="D172" s="20" t="s">
        <v>479</v>
      </c>
      <c r="F172" s="27">
        <v>10</v>
      </c>
      <c r="M172" s="42"/>
      <c r="N172" s="5"/>
    </row>
    <row r="173" spans="1:64" ht="12.75">
      <c r="A173" s="4" t="s">
        <v>72</v>
      </c>
      <c r="B173" s="14" t="s">
        <v>143</v>
      </c>
      <c r="C173" s="244" t="s">
        <v>286</v>
      </c>
      <c r="D173" s="245"/>
      <c r="E173" s="14" t="s">
        <v>507</v>
      </c>
      <c r="F173" s="26">
        <v>0.0164</v>
      </c>
      <c r="G173" s="155">
        <v>0</v>
      </c>
      <c r="H173" s="26">
        <f>F173*AO173</f>
        <v>0</v>
      </c>
      <c r="I173" s="26">
        <f>F173*AP173</f>
        <v>0</v>
      </c>
      <c r="J173" s="26">
        <f>F173*G173</f>
        <v>0</v>
      </c>
      <c r="K173" s="26">
        <v>0</v>
      </c>
      <c r="L173" s="26">
        <f>F173*K173</f>
        <v>0</v>
      </c>
      <c r="M173" s="41" t="s">
        <v>683</v>
      </c>
      <c r="N173" s="5"/>
      <c r="Z173" s="47">
        <f>IF(AQ173="5",BJ173,0)</f>
        <v>0</v>
      </c>
      <c r="AB173" s="47">
        <f>IF(AQ173="1",BH173,0)</f>
        <v>0</v>
      </c>
      <c r="AC173" s="47">
        <f>IF(AQ173="1",BI173,0)</f>
        <v>0</v>
      </c>
      <c r="AD173" s="47">
        <f>IF(AQ173="7",BH173,0)</f>
        <v>0</v>
      </c>
      <c r="AE173" s="47">
        <f>IF(AQ173="7",BI173,0)</f>
        <v>0</v>
      </c>
      <c r="AF173" s="47">
        <f>IF(AQ173="2",BH173,0)</f>
        <v>0</v>
      </c>
      <c r="AG173" s="47">
        <f>IF(AQ173="2",BI173,0)</f>
        <v>0</v>
      </c>
      <c r="AH173" s="47">
        <f>IF(AQ173="0",BJ173,0)</f>
        <v>0</v>
      </c>
      <c r="AI173" s="37"/>
      <c r="AJ173" s="26">
        <f>IF(AN173=0,J173,0)</f>
        <v>0</v>
      </c>
      <c r="AK173" s="26">
        <f>IF(AN173=15,J173,0)</f>
        <v>0</v>
      </c>
      <c r="AL173" s="26">
        <f>IF(AN173=21,J173,0)</f>
        <v>0</v>
      </c>
      <c r="AN173" s="47">
        <v>21</v>
      </c>
      <c r="AO173" s="47">
        <f>G173*0</f>
        <v>0</v>
      </c>
      <c r="AP173" s="47">
        <f>G173*(1-0)</f>
        <v>0</v>
      </c>
      <c r="AQ173" s="48" t="s">
        <v>11</v>
      </c>
      <c r="AV173" s="47">
        <f>AW173+AX173</f>
        <v>0</v>
      </c>
      <c r="AW173" s="47">
        <f>F173*AO173</f>
        <v>0</v>
      </c>
      <c r="AX173" s="47">
        <f>F173*AP173</f>
        <v>0</v>
      </c>
      <c r="AY173" s="50" t="s">
        <v>549</v>
      </c>
      <c r="AZ173" s="50" t="s">
        <v>565</v>
      </c>
      <c r="BA173" s="37" t="s">
        <v>571</v>
      </c>
      <c r="BC173" s="47">
        <f>AW173+AX173</f>
        <v>0</v>
      </c>
      <c r="BD173" s="47">
        <f>G173/(100-BE173)*100</f>
        <v>0</v>
      </c>
      <c r="BE173" s="47">
        <v>0</v>
      </c>
      <c r="BF173" s="47">
        <f>L173</f>
        <v>0</v>
      </c>
      <c r="BH173" s="26">
        <f>F173*AO173</f>
        <v>0</v>
      </c>
      <c r="BI173" s="26">
        <f>F173*AP173</f>
        <v>0</v>
      </c>
      <c r="BJ173" s="26">
        <f>F173*G173</f>
        <v>0</v>
      </c>
      <c r="BK173" s="26" t="s">
        <v>576</v>
      </c>
      <c r="BL173" s="47">
        <v>728</v>
      </c>
    </row>
    <row r="174" spans="1:47" ht="12.75">
      <c r="A174" s="6"/>
      <c r="B174" s="15" t="s">
        <v>190</v>
      </c>
      <c r="C174" s="249" t="s">
        <v>355</v>
      </c>
      <c r="D174" s="250"/>
      <c r="E174" s="24" t="s">
        <v>6</v>
      </c>
      <c r="F174" s="24" t="s">
        <v>6</v>
      </c>
      <c r="G174" s="24" t="s">
        <v>6</v>
      </c>
      <c r="H174" s="53">
        <f>SUM(H175:H181)</f>
        <v>0</v>
      </c>
      <c r="I174" s="53">
        <f>SUM(I175:I181)</f>
        <v>0</v>
      </c>
      <c r="J174" s="53">
        <f>SUM(J175:J181)</f>
        <v>0</v>
      </c>
      <c r="K174" s="37"/>
      <c r="L174" s="53">
        <f>SUM(L175:L181)</f>
        <v>0.009960400000000001</v>
      </c>
      <c r="M174" s="43"/>
      <c r="N174" s="5"/>
      <c r="AI174" s="37"/>
      <c r="AS174" s="53">
        <f>SUM(AJ175:AJ181)</f>
        <v>0</v>
      </c>
      <c r="AT174" s="53">
        <f>SUM(AK175:AK181)</f>
        <v>0</v>
      </c>
      <c r="AU174" s="53">
        <f>SUM(AL175:AL181)</f>
        <v>0</v>
      </c>
    </row>
    <row r="175" spans="1:64" ht="12.75">
      <c r="A175" s="4" t="s">
        <v>73</v>
      </c>
      <c r="B175" s="14" t="s">
        <v>191</v>
      </c>
      <c r="C175" s="244" t="s">
        <v>356</v>
      </c>
      <c r="D175" s="245"/>
      <c r="E175" s="14" t="s">
        <v>506</v>
      </c>
      <c r="F175" s="26">
        <v>4</v>
      </c>
      <c r="G175" s="155">
        <v>0</v>
      </c>
      <c r="H175" s="26">
        <f>F175*AO175</f>
        <v>0</v>
      </c>
      <c r="I175" s="26">
        <f>F175*AP175</f>
        <v>0</v>
      </c>
      <c r="J175" s="26">
        <f>F175*G175</f>
        <v>0</v>
      </c>
      <c r="K175" s="26">
        <v>7E-05</v>
      </c>
      <c r="L175" s="26">
        <f>F175*K175</f>
        <v>0.00028</v>
      </c>
      <c r="M175" s="41" t="s">
        <v>683</v>
      </c>
      <c r="N175" s="5"/>
      <c r="Z175" s="47">
        <f>IF(AQ175="5",BJ175,0)</f>
        <v>0</v>
      </c>
      <c r="AB175" s="47">
        <f>IF(AQ175="1",BH175,0)</f>
        <v>0</v>
      </c>
      <c r="AC175" s="47">
        <f>IF(AQ175="1",BI175,0)</f>
        <v>0</v>
      </c>
      <c r="AD175" s="47">
        <f>IF(AQ175="7",BH175,0)</f>
        <v>0</v>
      </c>
      <c r="AE175" s="47">
        <f>IF(AQ175="7",BI175,0)</f>
        <v>0</v>
      </c>
      <c r="AF175" s="47">
        <f>IF(AQ175="2",BH175,0)</f>
        <v>0</v>
      </c>
      <c r="AG175" s="47">
        <f>IF(AQ175="2",BI175,0)</f>
        <v>0</v>
      </c>
      <c r="AH175" s="47">
        <f>IF(AQ175="0",BJ175,0)</f>
        <v>0</v>
      </c>
      <c r="AI175" s="37"/>
      <c r="AJ175" s="26">
        <f>IF(AN175=0,J175,0)</f>
        <v>0</v>
      </c>
      <c r="AK175" s="26">
        <f>IF(AN175=15,J175,0)</f>
        <v>0</v>
      </c>
      <c r="AL175" s="26">
        <f>IF(AN175=21,J175,0)</f>
        <v>0</v>
      </c>
      <c r="AN175" s="47">
        <v>21</v>
      </c>
      <c r="AO175" s="47">
        <f>G175*0.109315200219795</f>
        <v>0</v>
      </c>
      <c r="AP175" s="47">
        <f>G175*(1-0.109315200219795)</f>
        <v>0</v>
      </c>
      <c r="AQ175" s="48" t="s">
        <v>13</v>
      </c>
      <c r="AV175" s="47">
        <f>AW175+AX175</f>
        <v>0</v>
      </c>
      <c r="AW175" s="47">
        <f>F175*AO175</f>
        <v>0</v>
      </c>
      <c r="AX175" s="47">
        <f>F175*AP175</f>
        <v>0</v>
      </c>
      <c r="AY175" s="50" t="s">
        <v>550</v>
      </c>
      <c r="AZ175" s="50" t="s">
        <v>566</v>
      </c>
      <c r="BA175" s="37" t="s">
        <v>571</v>
      </c>
      <c r="BC175" s="47">
        <f>AW175+AX175</f>
        <v>0</v>
      </c>
      <c r="BD175" s="47">
        <f>G175/(100-BE175)*100</f>
        <v>0</v>
      </c>
      <c r="BE175" s="47">
        <v>0</v>
      </c>
      <c r="BF175" s="47">
        <f>L175</f>
        <v>0.00028</v>
      </c>
      <c r="BH175" s="26">
        <f>F175*AO175</f>
        <v>0</v>
      </c>
      <c r="BI175" s="26">
        <f>F175*AP175</f>
        <v>0</v>
      </c>
      <c r="BJ175" s="26">
        <f>F175*G175</f>
        <v>0</v>
      </c>
      <c r="BK175" s="26" t="s">
        <v>576</v>
      </c>
      <c r="BL175" s="47">
        <v>735</v>
      </c>
    </row>
    <row r="176" spans="1:14" ht="12.75">
      <c r="A176" s="5"/>
      <c r="C176" s="18" t="s">
        <v>10</v>
      </c>
      <c r="D176" s="20" t="s">
        <v>480</v>
      </c>
      <c r="F176" s="27">
        <v>4</v>
      </c>
      <c r="M176" s="42"/>
      <c r="N176" s="5"/>
    </row>
    <row r="177" spans="1:64" ht="12.75">
      <c r="A177" s="4" t="s">
        <v>74</v>
      </c>
      <c r="B177" s="14" t="s">
        <v>192</v>
      </c>
      <c r="C177" s="244" t="s">
        <v>357</v>
      </c>
      <c r="D177" s="245"/>
      <c r="E177" s="14" t="s">
        <v>505</v>
      </c>
      <c r="F177" s="26">
        <v>0.36</v>
      </c>
      <c r="G177" s="155">
        <v>0</v>
      </c>
      <c r="H177" s="26">
        <f>F177*AO177</f>
        <v>0</v>
      </c>
      <c r="I177" s="26">
        <f>F177*AP177</f>
        <v>0</v>
      </c>
      <c r="J177" s="26">
        <f>F177*G177</f>
        <v>0</v>
      </c>
      <c r="K177" s="26">
        <v>0.01057</v>
      </c>
      <c r="L177" s="26">
        <f>F177*K177</f>
        <v>0.0038052</v>
      </c>
      <c r="M177" s="41" t="s">
        <v>683</v>
      </c>
      <c r="N177" s="5"/>
      <c r="Z177" s="47">
        <f>IF(AQ177="5",BJ177,0)</f>
        <v>0</v>
      </c>
      <c r="AB177" s="47">
        <f>IF(AQ177="1",BH177,0)</f>
        <v>0</v>
      </c>
      <c r="AC177" s="47">
        <f>IF(AQ177="1",BI177,0)</f>
        <v>0</v>
      </c>
      <c r="AD177" s="47">
        <f>IF(AQ177="7",BH177,0)</f>
        <v>0</v>
      </c>
      <c r="AE177" s="47">
        <f>IF(AQ177="7",BI177,0)</f>
        <v>0</v>
      </c>
      <c r="AF177" s="47">
        <f>IF(AQ177="2",BH177,0)</f>
        <v>0</v>
      </c>
      <c r="AG177" s="47">
        <f>IF(AQ177="2",BI177,0)</f>
        <v>0</v>
      </c>
      <c r="AH177" s="47">
        <f>IF(AQ177="0",BJ177,0)</f>
        <v>0</v>
      </c>
      <c r="AI177" s="37"/>
      <c r="AJ177" s="26">
        <f>IF(AN177=0,J177,0)</f>
        <v>0</v>
      </c>
      <c r="AK177" s="26">
        <f>IF(AN177=15,J177,0)</f>
        <v>0</v>
      </c>
      <c r="AL177" s="26">
        <f>IF(AN177=21,J177,0)</f>
        <v>0</v>
      </c>
      <c r="AN177" s="47">
        <v>21</v>
      </c>
      <c r="AO177" s="47">
        <f>G177*0</f>
        <v>0</v>
      </c>
      <c r="AP177" s="47">
        <f>G177*(1-0)</f>
        <v>0</v>
      </c>
      <c r="AQ177" s="48" t="s">
        <v>13</v>
      </c>
      <c r="AV177" s="47">
        <f>AW177+AX177</f>
        <v>0</v>
      </c>
      <c r="AW177" s="47">
        <f>F177*AO177</f>
        <v>0</v>
      </c>
      <c r="AX177" s="47">
        <f>F177*AP177</f>
        <v>0</v>
      </c>
      <c r="AY177" s="50" t="s">
        <v>550</v>
      </c>
      <c r="AZ177" s="50" t="s">
        <v>566</v>
      </c>
      <c r="BA177" s="37" t="s">
        <v>571</v>
      </c>
      <c r="BC177" s="47">
        <f>AW177+AX177</f>
        <v>0</v>
      </c>
      <c r="BD177" s="47">
        <f>G177/(100-BE177)*100</f>
        <v>0</v>
      </c>
      <c r="BE177" s="47">
        <v>0</v>
      </c>
      <c r="BF177" s="47">
        <f>L177</f>
        <v>0.0038052</v>
      </c>
      <c r="BH177" s="26">
        <f>F177*AO177</f>
        <v>0</v>
      </c>
      <c r="BI177" s="26">
        <f>F177*AP177</f>
        <v>0</v>
      </c>
      <c r="BJ177" s="26">
        <f>F177*G177</f>
        <v>0</v>
      </c>
      <c r="BK177" s="26" t="s">
        <v>576</v>
      </c>
      <c r="BL177" s="47">
        <v>735</v>
      </c>
    </row>
    <row r="178" spans="1:14" ht="12.75">
      <c r="A178" s="5"/>
      <c r="C178" s="18" t="s">
        <v>358</v>
      </c>
      <c r="D178" s="20"/>
      <c r="F178" s="27">
        <v>0.36</v>
      </c>
      <c r="M178" s="42"/>
      <c r="N178" s="5"/>
    </row>
    <row r="179" spans="1:64" ht="12.75">
      <c r="A179" s="4" t="s">
        <v>75</v>
      </c>
      <c r="B179" s="14" t="s">
        <v>193</v>
      </c>
      <c r="C179" s="244" t="s">
        <v>359</v>
      </c>
      <c r="D179" s="245"/>
      <c r="E179" s="14" t="s">
        <v>505</v>
      </c>
      <c r="F179" s="26">
        <v>0.36</v>
      </c>
      <c r="G179" s="155">
        <v>0</v>
      </c>
      <c r="H179" s="26">
        <f>F179*AO179</f>
        <v>0</v>
      </c>
      <c r="I179" s="26">
        <f>F179*AP179</f>
        <v>0</v>
      </c>
      <c r="J179" s="26">
        <f>F179*G179</f>
        <v>0</v>
      </c>
      <c r="K179" s="26">
        <v>0.01632</v>
      </c>
      <c r="L179" s="26">
        <f>F179*K179</f>
        <v>0.0058752000000000006</v>
      </c>
      <c r="M179" s="41" t="s">
        <v>683</v>
      </c>
      <c r="N179" s="5"/>
      <c r="Z179" s="47">
        <f>IF(AQ179="5",BJ179,0)</f>
        <v>0</v>
      </c>
      <c r="AB179" s="47">
        <f>IF(AQ179="1",BH179,0)</f>
        <v>0</v>
      </c>
      <c r="AC179" s="47">
        <f>IF(AQ179="1",BI179,0)</f>
        <v>0</v>
      </c>
      <c r="AD179" s="47">
        <f>IF(AQ179="7",BH179,0)</f>
        <v>0</v>
      </c>
      <c r="AE179" s="47">
        <f>IF(AQ179="7",BI179,0)</f>
        <v>0</v>
      </c>
      <c r="AF179" s="47">
        <f>IF(AQ179="2",BH179,0)</f>
        <v>0</v>
      </c>
      <c r="AG179" s="47">
        <f>IF(AQ179="2",BI179,0)</f>
        <v>0</v>
      </c>
      <c r="AH179" s="47">
        <f>IF(AQ179="0",BJ179,0)</f>
        <v>0</v>
      </c>
      <c r="AI179" s="37"/>
      <c r="AJ179" s="26">
        <f>IF(AN179=0,J179,0)</f>
        <v>0</v>
      </c>
      <c r="AK179" s="26">
        <f>IF(AN179=15,J179,0)</f>
        <v>0</v>
      </c>
      <c r="AL179" s="26">
        <f>IF(AN179=21,J179,0)</f>
        <v>0</v>
      </c>
      <c r="AN179" s="47">
        <v>21</v>
      </c>
      <c r="AO179" s="47">
        <f>G179*0.422111343176089</f>
        <v>0</v>
      </c>
      <c r="AP179" s="47">
        <f>G179*(1-0.422111343176089)</f>
        <v>0</v>
      </c>
      <c r="AQ179" s="48" t="s">
        <v>13</v>
      </c>
      <c r="AV179" s="47">
        <f>AW179+AX179</f>
        <v>0</v>
      </c>
      <c r="AW179" s="47">
        <f>F179*AO179</f>
        <v>0</v>
      </c>
      <c r="AX179" s="47">
        <f>F179*AP179</f>
        <v>0</v>
      </c>
      <c r="AY179" s="50" t="s">
        <v>550</v>
      </c>
      <c r="AZ179" s="50" t="s">
        <v>566</v>
      </c>
      <c r="BA179" s="37" t="s">
        <v>571</v>
      </c>
      <c r="BC179" s="47">
        <f>AW179+AX179</f>
        <v>0</v>
      </c>
      <c r="BD179" s="47">
        <f>G179/(100-BE179)*100</f>
        <v>0</v>
      </c>
      <c r="BE179" s="47">
        <v>0</v>
      </c>
      <c r="BF179" s="47">
        <f>L179</f>
        <v>0.0058752000000000006</v>
      </c>
      <c r="BH179" s="26">
        <f>F179*AO179</f>
        <v>0</v>
      </c>
      <c r="BI179" s="26">
        <f>F179*AP179</f>
        <v>0</v>
      </c>
      <c r="BJ179" s="26">
        <f>F179*G179</f>
        <v>0</v>
      </c>
      <c r="BK179" s="26" t="s">
        <v>576</v>
      </c>
      <c r="BL179" s="47">
        <v>735</v>
      </c>
    </row>
    <row r="180" spans="1:14" ht="12.75">
      <c r="A180" s="5"/>
      <c r="C180" s="18" t="s">
        <v>358</v>
      </c>
      <c r="D180" s="20"/>
      <c r="F180" s="27">
        <v>0.36</v>
      </c>
      <c r="M180" s="42"/>
      <c r="N180" s="5"/>
    </row>
    <row r="181" spans="1:64" ht="12.75">
      <c r="A181" s="4" t="s">
        <v>76</v>
      </c>
      <c r="B181" s="14" t="s">
        <v>194</v>
      </c>
      <c r="C181" s="244" t="s">
        <v>360</v>
      </c>
      <c r="D181" s="245"/>
      <c r="E181" s="14" t="s">
        <v>507</v>
      </c>
      <c r="F181" s="26">
        <v>0.00996</v>
      </c>
      <c r="G181" s="155">
        <v>0</v>
      </c>
      <c r="H181" s="26">
        <f>F181*AO181</f>
        <v>0</v>
      </c>
      <c r="I181" s="26">
        <f>F181*AP181</f>
        <v>0</v>
      </c>
      <c r="J181" s="26">
        <f>F181*G181</f>
        <v>0</v>
      </c>
      <c r="K181" s="26">
        <v>0</v>
      </c>
      <c r="L181" s="26">
        <f>F181*K181</f>
        <v>0</v>
      </c>
      <c r="M181" s="41" t="s">
        <v>683</v>
      </c>
      <c r="N181" s="5"/>
      <c r="Z181" s="47">
        <f>IF(AQ181="5",BJ181,0)</f>
        <v>0</v>
      </c>
      <c r="AB181" s="47">
        <f>IF(AQ181="1",BH181,0)</f>
        <v>0</v>
      </c>
      <c r="AC181" s="47">
        <f>IF(AQ181="1",BI181,0)</f>
        <v>0</v>
      </c>
      <c r="AD181" s="47">
        <f>IF(AQ181="7",BH181,0)</f>
        <v>0</v>
      </c>
      <c r="AE181" s="47">
        <f>IF(AQ181="7",BI181,0)</f>
        <v>0</v>
      </c>
      <c r="AF181" s="47">
        <f>IF(AQ181="2",BH181,0)</f>
        <v>0</v>
      </c>
      <c r="AG181" s="47">
        <f>IF(AQ181="2",BI181,0)</f>
        <v>0</v>
      </c>
      <c r="AH181" s="47">
        <f>IF(AQ181="0",BJ181,0)</f>
        <v>0</v>
      </c>
      <c r="AI181" s="37"/>
      <c r="AJ181" s="26">
        <f>IF(AN181=0,J181,0)</f>
        <v>0</v>
      </c>
      <c r="AK181" s="26">
        <f>IF(AN181=15,J181,0)</f>
        <v>0</v>
      </c>
      <c r="AL181" s="26">
        <f>IF(AN181=21,J181,0)</f>
        <v>0</v>
      </c>
      <c r="AN181" s="47">
        <v>21</v>
      </c>
      <c r="AO181" s="47">
        <f>G181*0</f>
        <v>0</v>
      </c>
      <c r="AP181" s="47">
        <f>G181*(1-0)</f>
        <v>0</v>
      </c>
      <c r="AQ181" s="48" t="s">
        <v>11</v>
      </c>
      <c r="AV181" s="47">
        <f>AW181+AX181</f>
        <v>0</v>
      </c>
      <c r="AW181" s="47">
        <f>F181*AO181</f>
        <v>0</v>
      </c>
      <c r="AX181" s="47">
        <f>F181*AP181</f>
        <v>0</v>
      </c>
      <c r="AY181" s="50" t="s">
        <v>550</v>
      </c>
      <c r="AZ181" s="50" t="s">
        <v>566</v>
      </c>
      <c r="BA181" s="37" t="s">
        <v>571</v>
      </c>
      <c r="BC181" s="47">
        <f>AW181+AX181</f>
        <v>0</v>
      </c>
      <c r="BD181" s="47">
        <f>G181/(100-BE181)*100</f>
        <v>0</v>
      </c>
      <c r="BE181" s="47">
        <v>0</v>
      </c>
      <c r="BF181" s="47">
        <f>L181</f>
        <v>0</v>
      </c>
      <c r="BH181" s="26">
        <f>F181*AO181</f>
        <v>0</v>
      </c>
      <c r="BI181" s="26">
        <f>F181*AP181</f>
        <v>0</v>
      </c>
      <c r="BJ181" s="26">
        <f>F181*G181</f>
        <v>0</v>
      </c>
      <c r="BK181" s="26" t="s">
        <v>576</v>
      </c>
      <c r="BL181" s="47">
        <v>735</v>
      </c>
    </row>
    <row r="182" spans="1:47" ht="12.75">
      <c r="A182" s="6"/>
      <c r="B182" s="15" t="s">
        <v>195</v>
      </c>
      <c r="C182" s="249" t="s">
        <v>361</v>
      </c>
      <c r="D182" s="250"/>
      <c r="E182" s="24" t="s">
        <v>6</v>
      </c>
      <c r="F182" s="24" t="s">
        <v>6</v>
      </c>
      <c r="G182" s="24" t="s">
        <v>6</v>
      </c>
      <c r="H182" s="53">
        <f>SUM(H183:H185)</f>
        <v>0</v>
      </c>
      <c r="I182" s="53">
        <f>SUM(I183:I185)</f>
        <v>0</v>
      </c>
      <c r="J182" s="53">
        <f>SUM(J183:J185)</f>
        <v>0</v>
      </c>
      <c r="K182" s="37"/>
      <c r="L182" s="53">
        <f>SUM(L183:L185)</f>
        <v>0.05</v>
      </c>
      <c r="M182" s="43"/>
      <c r="N182" s="5"/>
      <c r="AI182" s="37"/>
      <c r="AS182" s="53">
        <f>SUM(AJ183:AJ185)</f>
        <v>0</v>
      </c>
      <c r="AT182" s="53">
        <f>SUM(AK183:AK185)</f>
        <v>0</v>
      </c>
      <c r="AU182" s="53">
        <f>SUM(AL183:AL185)</f>
        <v>0</v>
      </c>
    </row>
    <row r="183" spans="1:64" ht="12.75">
      <c r="A183" s="7" t="s">
        <v>77</v>
      </c>
      <c r="B183" s="16" t="s">
        <v>196</v>
      </c>
      <c r="C183" s="247" t="s">
        <v>362</v>
      </c>
      <c r="D183" s="248"/>
      <c r="E183" s="16" t="s">
        <v>510</v>
      </c>
      <c r="F183" s="28">
        <v>4</v>
      </c>
      <c r="G183" s="156">
        <v>0</v>
      </c>
      <c r="H183" s="28">
        <f>F183*AO183</f>
        <v>0</v>
      </c>
      <c r="I183" s="28">
        <f>F183*AP183</f>
        <v>0</v>
      </c>
      <c r="J183" s="28">
        <f>F183*G183</f>
        <v>0</v>
      </c>
      <c r="K183" s="28">
        <v>0.0125</v>
      </c>
      <c r="L183" s="28">
        <f>F183*K183</f>
        <v>0.05</v>
      </c>
      <c r="M183" s="44"/>
      <c r="N183" s="5"/>
      <c r="Z183" s="47">
        <f>IF(AQ183="5",BJ183,0)</f>
        <v>0</v>
      </c>
      <c r="AB183" s="47">
        <f>IF(AQ183="1",BH183,0)</f>
        <v>0</v>
      </c>
      <c r="AC183" s="47">
        <f>IF(AQ183="1",BI183,0)</f>
        <v>0</v>
      </c>
      <c r="AD183" s="47">
        <f>IF(AQ183="7",BH183,0)</f>
        <v>0</v>
      </c>
      <c r="AE183" s="47">
        <f>IF(AQ183="7",BI183,0)</f>
        <v>0</v>
      </c>
      <c r="AF183" s="47">
        <f>IF(AQ183="2",BH183,0)</f>
        <v>0</v>
      </c>
      <c r="AG183" s="47">
        <f>IF(AQ183="2",BI183,0)</f>
        <v>0</v>
      </c>
      <c r="AH183" s="47">
        <f>IF(AQ183="0",BJ183,0)</f>
        <v>0</v>
      </c>
      <c r="AI183" s="37"/>
      <c r="AJ183" s="28">
        <f>IF(AN183=0,J183,0)</f>
        <v>0</v>
      </c>
      <c r="AK183" s="28">
        <f>IF(AN183=15,J183,0)</f>
        <v>0</v>
      </c>
      <c r="AL183" s="28">
        <f>IF(AN183=21,J183,0)</f>
        <v>0</v>
      </c>
      <c r="AN183" s="47">
        <v>21</v>
      </c>
      <c r="AO183" s="47">
        <f>G183*1</f>
        <v>0</v>
      </c>
      <c r="AP183" s="47">
        <f>G183*(1-1)</f>
        <v>0</v>
      </c>
      <c r="AQ183" s="49" t="s">
        <v>13</v>
      </c>
      <c r="AV183" s="47">
        <f>AW183+AX183</f>
        <v>0</v>
      </c>
      <c r="AW183" s="47">
        <f>F183*AO183</f>
        <v>0</v>
      </c>
      <c r="AX183" s="47">
        <f>F183*AP183</f>
        <v>0</v>
      </c>
      <c r="AY183" s="50" t="s">
        <v>551</v>
      </c>
      <c r="AZ183" s="50" t="s">
        <v>567</v>
      </c>
      <c r="BA183" s="37" t="s">
        <v>571</v>
      </c>
      <c r="BC183" s="47">
        <f>AW183+AX183</f>
        <v>0</v>
      </c>
      <c r="BD183" s="47">
        <f>G183/(100-BE183)*100</f>
        <v>0</v>
      </c>
      <c r="BE183" s="47">
        <v>0</v>
      </c>
      <c r="BF183" s="47">
        <f>L183</f>
        <v>0.05</v>
      </c>
      <c r="BH183" s="28">
        <f>F183*AO183</f>
        <v>0</v>
      </c>
      <c r="BI183" s="28">
        <f>F183*AP183</f>
        <v>0</v>
      </c>
      <c r="BJ183" s="28">
        <f>F183*G183</f>
        <v>0</v>
      </c>
      <c r="BK183" s="28" t="s">
        <v>577</v>
      </c>
      <c r="BL183" s="47">
        <v>766</v>
      </c>
    </row>
    <row r="184" spans="1:14" ht="12.75">
      <c r="A184" s="5"/>
      <c r="C184" s="18" t="s">
        <v>10</v>
      </c>
      <c r="D184" s="20" t="s">
        <v>446</v>
      </c>
      <c r="F184" s="27">
        <v>4</v>
      </c>
      <c r="M184" s="42"/>
      <c r="N184" s="5"/>
    </row>
    <row r="185" spans="1:64" ht="12.75">
      <c r="A185" s="4" t="s">
        <v>78</v>
      </c>
      <c r="B185" s="14" t="s">
        <v>197</v>
      </c>
      <c r="C185" s="244" t="s">
        <v>363</v>
      </c>
      <c r="D185" s="245"/>
      <c r="E185" s="14" t="s">
        <v>507</v>
      </c>
      <c r="F185" s="26">
        <v>0.05</v>
      </c>
      <c r="G185" s="155">
        <v>0</v>
      </c>
      <c r="H185" s="26">
        <f>F185*AO185</f>
        <v>0</v>
      </c>
      <c r="I185" s="26">
        <f>F185*AP185</f>
        <v>0</v>
      </c>
      <c r="J185" s="26">
        <f>F185*G185</f>
        <v>0</v>
      </c>
      <c r="K185" s="26">
        <v>0</v>
      </c>
      <c r="L185" s="26">
        <f>F185*K185</f>
        <v>0</v>
      </c>
      <c r="M185" s="41" t="s">
        <v>683</v>
      </c>
      <c r="N185" s="5"/>
      <c r="Z185" s="47">
        <f>IF(AQ185="5",BJ185,0)</f>
        <v>0</v>
      </c>
      <c r="AB185" s="47">
        <f>IF(AQ185="1",BH185,0)</f>
        <v>0</v>
      </c>
      <c r="AC185" s="47">
        <f>IF(AQ185="1",BI185,0)</f>
        <v>0</v>
      </c>
      <c r="AD185" s="47">
        <f>IF(AQ185="7",BH185,0)</f>
        <v>0</v>
      </c>
      <c r="AE185" s="47">
        <f>IF(AQ185="7",BI185,0)</f>
        <v>0</v>
      </c>
      <c r="AF185" s="47">
        <f>IF(AQ185="2",BH185,0)</f>
        <v>0</v>
      </c>
      <c r="AG185" s="47">
        <f>IF(AQ185="2",BI185,0)</f>
        <v>0</v>
      </c>
      <c r="AH185" s="47">
        <f>IF(AQ185="0",BJ185,0)</f>
        <v>0</v>
      </c>
      <c r="AI185" s="37"/>
      <c r="AJ185" s="26">
        <f>IF(AN185=0,J185,0)</f>
        <v>0</v>
      </c>
      <c r="AK185" s="26">
        <f>IF(AN185=15,J185,0)</f>
        <v>0</v>
      </c>
      <c r="AL185" s="26">
        <f>IF(AN185=21,J185,0)</f>
        <v>0</v>
      </c>
      <c r="AN185" s="47">
        <v>21</v>
      </c>
      <c r="AO185" s="47">
        <f>G185*0</f>
        <v>0</v>
      </c>
      <c r="AP185" s="47">
        <f>G185*(1-0)</f>
        <v>0</v>
      </c>
      <c r="AQ185" s="48" t="s">
        <v>11</v>
      </c>
      <c r="AV185" s="47">
        <f>AW185+AX185</f>
        <v>0</v>
      </c>
      <c r="AW185" s="47">
        <f>F185*AO185</f>
        <v>0</v>
      </c>
      <c r="AX185" s="47">
        <f>F185*AP185</f>
        <v>0</v>
      </c>
      <c r="AY185" s="50" t="s">
        <v>551</v>
      </c>
      <c r="AZ185" s="50" t="s">
        <v>567</v>
      </c>
      <c r="BA185" s="37" t="s">
        <v>571</v>
      </c>
      <c r="BC185" s="47">
        <f>AW185+AX185</f>
        <v>0</v>
      </c>
      <c r="BD185" s="47">
        <f>G185/(100-BE185)*100</f>
        <v>0</v>
      </c>
      <c r="BE185" s="47">
        <v>0</v>
      </c>
      <c r="BF185" s="47">
        <f>L185</f>
        <v>0</v>
      </c>
      <c r="BH185" s="26">
        <f>F185*AO185</f>
        <v>0</v>
      </c>
      <c r="BI185" s="26">
        <f>F185*AP185</f>
        <v>0</v>
      </c>
      <c r="BJ185" s="26">
        <f>F185*G185</f>
        <v>0</v>
      </c>
      <c r="BK185" s="26" t="s">
        <v>576</v>
      </c>
      <c r="BL185" s="47">
        <v>766</v>
      </c>
    </row>
    <row r="186" spans="1:47" ht="12.75">
      <c r="A186" s="6"/>
      <c r="B186" s="15" t="s">
        <v>198</v>
      </c>
      <c r="C186" s="249" t="s">
        <v>364</v>
      </c>
      <c r="D186" s="250"/>
      <c r="E186" s="24" t="s">
        <v>6</v>
      </c>
      <c r="F186" s="24" t="s">
        <v>6</v>
      </c>
      <c r="G186" s="24" t="s">
        <v>6</v>
      </c>
      <c r="H186" s="53">
        <f>SUM(H187:H195)</f>
        <v>0</v>
      </c>
      <c r="I186" s="53">
        <f>SUM(I187:I195)</f>
        <v>0</v>
      </c>
      <c r="J186" s="53">
        <f>SUM(J187:J195)</f>
        <v>0</v>
      </c>
      <c r="K186" s="37"/>
      <c r="L186" s="53">
        <f>SUM(L187:L195)</f>
        <v>0.15209060000000002</v>
      </c>
      <c r="M186" s="43"/>
      <c r="N186" s="5"/>
      <c r="AI186" s="37"/>
      <c r="AS186" s="53">
        <f>SUM(AJ187:AJ195)</f>
        <v>0</v>
      </c>
      <c r="AT186" s="53">
        <f>SUM(AK187:AK195)</f>
        <v>0</v>
      </c>
      <c r="AU186" s="53">
        <f>SUM(AL187:AL195)</f>
        <v>0</v>
      </c>
    </row>
    <row r="187" spans="1:64" ht="12.75">
      <c r="A187" s="4" t="s">
        <v>79</v>
      </c>
      <c r="B187" s="14" t="s">
        <v>199</v>
      </c>
      <c r="C187" s="244" t="s">
        <v>365</v>
      </c>
      <c r="D187" s="245"/>
      <c r="E187" s="14" t="s">
        <v>505</v>
      </c>
      <c r="F187" s="26">
        <v>21.57</v>
      </c>
      <c r="G187" s="155">
        <v>0</v>
      </c>
      <c r="H187" s="26">
        <f>F187*AO187</f>
        <v>0</v>
      </c>
      <c r="I187" s="26">
        <f>F187*AP187</f>
        <v>0</v>
      </c>
      <c r="J187" s="26">
        <f>F187*G187</f>
        <v>0</v>
      </c>
      <c r="K187" s="26">
        <v>0.00248</v>
      </c>
      <c r="L187" s="26">
        <f>F187*K187</f>
        <v>0.0534936</v>
      </c>
      <c r="M187" s="41" t="s">
        <v>683</v>
      </c>
      <c r="N187" s="5"/>
      <c r="Z187" s="47">
        <f>IF(AQ187="5",BJ187,0)</f>
        <v>0</v>
      </c>
      <c r="AB187" s="47">
        <f>IF(AQ187="1",BH187,0)</f>
        <v>0</v>
      </c>
      <c r="AC187" s="47">
        <f>IF(AQ187="1",BI187,0)</f>
        <v>0</v>
      </c>
      <c r="AD187" s="47">
        <f>IF(AQ187="7",BH187,0)</f>
        <v>0</v>
      </c>
      <c r="AE187" s="47">
        <f>IF(AQ187="7",BI187,0)</f>
        <v>0</v>
      </c>
      <c r="AF187" s="47">
        <f>IF(AQ187="2",BH187,0)</f>
        <v>0</v>
      </c>
      <c r="AG187" s="47">
        <f>IF(AQ187="2",BI187,0)</f>
        <v>0</v>
      </c>
      <c r="AH187" s="47">
        <f>IF(AQ187="0",BJ187,0)</f>
        <v>0</v>
      </c>
      <c r="AI187" s="37"/>
      <c r="AJ187" s="26">
        <f>IF(AN187=0,J187,0)</f>
        <v>0</v>
      </c>
      <c r="AK187" s="26">
        <f>IF(AN187=15,J187,0)</f>
        <v>0</v>
      </c>
      <c r="AL187" s="26">
        <f>IF(AN187=21,J187,0)</f>
        <v>0</v>
      </c>
      <c r="AN187" s="47">
        <v>21</v>
      </c>
      <c r="AO187" s="47">
        <f>G187*0.485935807947549</f>
        <v>0</v>
      </c>
      <c r="AP187" s="47">
        <f>G187*(1-0.485935807947549)</f>
        <v>0</v>
      </c>
      <c r="AQ187" s="48" t="s">
        <v>13</v>
      </c>
      <c r="AV187" s="47">
        <f>AW187+AX187</f>
        <v>0</v>
      </c>
      <c r="AW187" s="47">
        <f>F187*AO187</f>
        <v>0</v>
      </c>
      <c r="AX187" s="47">
        <f>F187*AP187</f>
        <v>0</v>
      </c>
      <c r="AY187" s="50" t="s">
        <v>552</v>
      </c>
      <c r="AZ187" s="50" t="s">
        <v>567</v>
      </c>
      <c r="BA187" s="37" t="s">
        <v>571</v>
      </c>
      <c r="BC187" s="47">
        <f>AW187+AX187</f>
        <v>0</v>
      </c>
      <c r="BD187" s="47">
        <f>G187/(100-BE187)*100</f>
        <v>0</v>
      </c>
      <c r="BE187" s="47">
        <v>0</v>
      </c>
      <c r="BF187" s="47">
        <f>L187</f>
        <v>0.0534936</v>
      </c>
      <c r="BH187" s="26">
        <f>F187*AO187</f>
        <v>0</v>
      </c>
      <c r="BI187" s="26">
        <f>F187*AP187</f>
        <v>0</v>
      </c>
      <c r="BJ187" s="26">
        <f>F187*G187</f>
        <v>0</v>
      </c>
      <c r="BK187" s="26" t="s">
        <v>576</v>
      </c>
      <c r="BL187" s="47">
        <v>767</v>
      </c>
    </row>
    <row r="188" spans="1:14" ht="12.75">
      <c r="A188" s="5"/>
      <c r="C188" s="18" t="s">
        <v>265</v>
      </c>
      <c r="D188" s="20" t="s">
        <v>481</v>
      </c>
      <c r="F188" s="27">
        <v>21.57</v>
      </c>
      <c r="M188" s="42"/>
      <c r="N188" s="5"/>
    </row>
    <row r="189" spans="1:64" ht="12.75">
      <c r="A189" s="4" t="s">
        <v>80</v>
      </c>
      <c r="B189" s="14" t="s">
        <v>200</v>
      </c>
      <c r="C189" s="244" t="s">
        <v>366</v>
      </c>
      <c r="D189" s="245"/>
      <c r="E189" s="14" t="s">
        <v>505</v>
      </c>
      <c r="F189" s="26">
        <v>21.57</v>
      </c>
      <c r="G189" s="155">
        <v>0</v>
      </c>
      <c r="H189" s="26">
        <f>F189*AO189</f>
        <v>0</v>
      </c>
      <c r="I189" s="26">
        <f>F189*AP189</f>
        <v>0</v>
      </c>
      <c r="J189" s="26">
        <f>F189*G189</f>
        <v>0</v>
      </c>
      <c r="K189" s="26">
        <v>0.0041</v>
      </c>
      <c r="L189" s="26">
        <f>F189*K189</f>
        <v>0.088437</v>
      </c>
      <c r="M189" s="41" t="s">
        <v>683</v>
      </c>
      <c r="N189" s="5"/>
      <c r="Z189" s="47">
        <f>IF(AQ189="5",BJ189,0)</f>
        <v>0</v>
      </c>
      <c r="AB189" s="47">
        <f>IF(AQ189="1",BH189,0)</f>
        <v>0</v>
      </c>
      <c r="AC189" s="47">
        <f>IF(AQ189="1",BI189,0)</f>
        <v>0</v>
      </c>
      <c r="AD189" s="47">
        <f>IF(AQ189="7",BH189,0)</f>
        <v>0</v>
      </c>
      <c r="AE189" s="47">
        <f>IF(AQ189="7",BI189,0)</f>
        <v>0</v>
      </c>
      <c r="AF189" s="47">
        <f>IF(AQ189="2",BH189,0)</f>
        <v>0</v>
      </c>
      <c r="AG189" s="47">
        <f>IF(AQ189="2",BI189,0)</f>
        <v>0</v>
      </c>
      <c r="AH189" s="47">
        <f>IF(AQ189="0",BJ189,0)</f>
        <v>0</v>
      </c>
      <c r="AI189" s="37"/>
      <c r="AJ189" s="26">
        <f>IF(AN189=0,J189,0)</f>
        <v>0</v>
      </c>
      <c r="AK189" s="26">
        <f>IF(AN189=15,J189,0)</f>
        <v>0</v>
      </c>
      <c r="AL189" s="26">
        <f>IF(AN189=21,J189,0)</f>
        <v>0</v>
      </c>
      <c r="AN189" s="47">
        <v>21</v>
      </c>
      <c r="AO189" s="47">
        <f>G189*0.594059183163001</f>
        <v>0</v>
      </c>
      <c r="AP189" s="47">
        <f>G189*(1-0.594059183163001)</f>
        <v>0</v>
      </c>
      <c r="AQ189" s="48" t="s">
        <v>13</v>
      </c>
      <c r="AV189" s="47">
        <f>AW189+AX189</f>
        <v>0</v>
      </c>
      <c r="AW189" s="47">
        <f>F189*AO189</f>
        <v>0</v>
      </c>
      <c r="AX189" s="47">
        <f>F189*AP189</f>
        <v>0</v>
      </c>
      <c r="AY189" s="50" t="s">
        <v>552</v>
      </c>
      <c r="AZ189" s="50" t="s">
        <v>567</v>
      </c>
      <c r="BA189" s="37" t="s">
        <v>571</v>
      </c>
      <c r="BC189" s="47">
        <f>AW189+AX189</f>
        <v>0</v>
      </c>
      <c r="BD189" s="47">
        <f>G189/(100-BE189)*100</f>
        <v>0</v>
      </c>
      <c r="BE189" s="47">
        <v>0</v>
      </c>
      <c r="BF189" s="47">
        <f>L189</f>
        <v>0.088437</v>
      </c>
      <c r="BH189" s="26">
        <f>F189*AO189</f>
        <v>0</v>
      </c>
      <c r="BI189" s="26">
        <f>F189*AP189</f>
        <v>0</v>
      </c>
      <c r="BJ189" s="26">
        <f>F189*G189</f>
        <v>0</v>
      </c>
      <c r="BK189" s="26" t="s">
        <v>576</v>
      </c>
      <c r="BL189" s="47">
        <v>767</v>
      </c>
    </row>
    <row r="190" spans="1:14" ht="12.75">
      <c r="A190" s="5"/>
      <c r="C190" s="18" t="s">
        <v>265</v>
      </c>
      <c r="D190" s="20" t="s">
        <v>481</v>
      </c>
      <c r="F190" s="27">
        <v>21.57</v>
      </c>
      <c r="M190" s="42"/>
      <c r="N190" s="5"/>
    </row>
    <row r="191" spans="1:64" ht="12.75">
      <c r="A191" s="7" t="s">
        <v>81</v>
      </c>
      <c r="B191" s="16" t="s">
        <v>201</v>
      </c>
      <c r="C191" s="247" t="s">
        <v>367</v>
      </c>
      <c r="D191" s="248"/>
      <c r="E191" s="16" t="s">
        <v>508</v>
      </c>
      <c r="F191" s="28">
        <v>6.16</v>
      </c>
      <c r="G191" s="156">
        <v>0</v>
      </c>
      <c r="H191" s="28">
        <f>F191*AO191</f>
        <v>0</v>
      </c>
      <c r="I191" s="28">
        <f>F191*AP191</f>
        <v>0</v>
      </c>
      <c r="J191" s="28">
        <f>F191*G191</f>
        <v>0</v>
      </c>
      <c r="K191" s="28">
        <v>0.001</v>
      </c>
      <c r="L191" s="28">
        <f>F191*K191</f>
        <v>0.0061600000000000005</v>
      </c>
      <c r="M191" s="44"/>
      <c r="N191" s="5"/>
      <c r="Z191" s="47">
        <f>IF(AQ191="5",BJ191,0)</f>
        <v>0</v>
      </c>
      <c r="AB191" s="47">
        <f>IF(AQ191="1",BH191,0)</f>
        <v>0</v>
      </c>
      <c r="AC191" s="47">
        <f>IF(AQ191="1",BI191,0)</f>
        <v>0</v>
      </c>
      <c r="AD191" s="47">
        <f>IF(AQ191="7",BH191,0)</f>
        <v>0</v>
      </c>
      <c r="AE191" s="47">
        <f>IF(AQ191="7",BI191,0)</f>
        <v>0</v>
      </c>
      <c r="AF191" s="47">
        <f>IF(AQ191="2",BH191,0)</f>
        <v>0</v>
      </c>
      <c r="AG191" s="47">
        <f>IF(AQ191="2",BI191,0)</f>
        <v>0</v>
      </c>
      <c r="AH191" s="47">
        <f>IF(AQ191="0",BJ191,0)</f>
        <v>0</v>
      </c>
      <c r="AI191" s="37"/>
      <c r="AJ191" s="28">
        <f>IF(AN191=0,J191,0)</f>
        <v>0</v>
      </c>
      <c r="AK191" s="28">
        <f>IF(AN191=15,J191,0)</f>
        <v>0</v>
      </c>
      <c r="AL191" s="28">
        <f>IF(AN191=21,J191,0)</f>
        <v>0</v>
      </c>
      <c r="AN191" s="47">
        <v>21</v>
      </c>
      <c r="AO191" s="47">
        <f>G191*1</f>
        <v>0</v>
      </c>
      <c r="AP191" s="47">
        <f>G191*(1-1)</f>
        <v>0</v>
      </c>
      <c r="AQ191" s="49" t="s">
        <v>13</v>
      </c>
      <c r="AV191" s="47">
        <f>AW191+AX191</f>
        <v>0</v>
      </c>
      <c r="AW191" s="47">
        <f>F191*AO191</f>
        <v>0</v>
      </c>
      <c r="AX191" s="47">
        <f>F191*AP191</f>
        <v>0</v>
      </c>
      <c r="AY191" s="50" t="s">
        <v>552</v>
      </c>
      <c r="AZ191" s="50" t="s">
        <v>567</v>
      </c>
      <c r="BA191" s="37" t="s">
        <v>571</v>
      </c>
      <c r="BC191" s="47">
        <f>AW191+AX191</f>
        <v>0</v>
      </c>
      <c r="BD191" s="47">
        <f>G191/(100-BE191)*100</f>
        <v>0</v>
      </c>
      <c r="BE191" s="47">
        <v>0</v>
      </c>
      <c r="BF191" s="47">
        <f>L191</f>
        <v>0.0061600000000000005</v>
      </c>
      <c r="BH191" s="28">
        <f>F191*AO191</f>
        <v>0</v>
      </c>
      <c r="BI191" s="28">
        <f>F191*AP191</f>
        <v>0</v>
      </c>
      <c r="BJ191" s="28">
        <f>F191*G191</f>
        <v>0</v>
      </c>
      <c r="BK191" s="28" t="s">
        <v>577</v>
      </c>
      <c r="BL191" s="47">
        <v>767</v>
      </c>
    </row>
    <row r="192" spans="1:14" ht="12.75">
      <c r="A192" s="5"/>
      <c r="C192" s="18" t="s">
        <v>368</v>
      </c>
      <c r="D192" s="20" t="s">
        <v>482</v>
      </c>
      <c r="F192" s="27">
        <v>6.16</v>
      </c>
      <c r="M192" s="42"/>
      <c r="N192" s="5"/>
    </row>
    <row r="193" spans="1:64" ht="12.75">
      <c r="A193" s="7" t="s">
        <v>82</v>
      </c>
      <c r="B193" s="16" t="s">
        <v>202</v>
      </c>
      <c r="C193" s="247" t="s">
        <v>369</v>
      </c>
      <c r="D193" s="248"/>
      <c r="E193" s="16" t="s">
        <v>510</v>
      </c>
      <c r="F193" s="28">
        <v>2</v>
      </c>
      <c r="G193" s="156">
        <v>0</v>
      </c>
      <c r="H193" s="28">
        <f>F193*AO193</f>
        <v>0</v>
      </c>
      <c r="I193" s="28">
        <f>F193*AP193</f>
        <v>0</v>
      </c>
      <c r="J193" s="28">
        <f>F193*G193</f>
        <v>0</v>
      </c>
      <c r="K193" s="28">
        <v>0.002</v>
      </c>
      <c r="L193" s="28">
        <f>F193*K193</f>
        <v>0.004</v>
      </c>
      <c r="M193" s="44"/>
      <c r="N193" s="5"/>
      <c r="Z193" s="47">
        <f>IF(AQ193="5",BJ193,0)</f>
        <v>0</v>
      </c>
      <c r="AB193" s="47">
        <f>IF(AQ193="1",BH193,0)</f>
        <v>0</v>
      </c>
      <c r="AC193" s="47">
        <f>IF(AQ193="1",BI193,0)</f>
        <v>0</v>
      </c>
      <c r="AD193" s="47">
        <f>IF(AQ193="7",BH193,0)</f>
        <v>0</v>
      </c>
      <c r="AE193" s="47">
        <f>IF(AQ193="7",BI193,0)</f>
        <v>0</v>
      </c>
      <c r="AF193" s="47">
        <f>IF(AQ193="2",BH193,0)</f>
        <v>0</v>
      </c>
      <c r="AG193" s="47">
        <f>IF(AQ193="2",BI193,0)</f>
        <v>0</v>
      </c>
      <c r="AH193" s="47">
        <f>IF(AQ193="0",BJ193,0)</f>
        <v>0</v>
      </c>
      <c r="AI193" s="37"/>
      <c r="AJ193" s="28">
        <f>IF(AN193=0,J193,0)</f>
        <v>0</v>
      </c>
      <c r="AK193" s="28">
        <f>IF(AN193=15,J193,0)</f>
        <v>0</v>
      </c>
      <c r="AL193" s="28">
        <f>IF(AN193=21,J193,0)</f>
        <v>0</v>
      </c>
      <c r="AN193" s="47">
        <v>21</v>
      </c>
      <c r="AO193" s="47">
        <f>G193*1</f>
        <v>0</v>
      </c>
      <c r="AP193" s="47">
        <f>G193*(1-1)</f>
        <v>0</v>
      </c>
      <c r="AQ193" s="49" t="s">
        <v>13</v>
      </c>
      <c r="AV193" s="47">
        <f>AW193+AX193</f>
        <v>0</v>
      </c>
      <c r="AW193" s="47">
        <f>F193*AO193</f>
        <v>0</v>
      </c>
      <c r="AX193" s="47">
        <f>F193*AP193</f>
        <v>0</v>
      </c>
      <c r="AY193" s="50" t="s">
        <v>552</v>
      </c>
      <c r="AZ193" s="50" t="s">
        <v>567</v>
      </c>
      <c r="BA193" s="37" t="s">
        <v>571</v>
      </c>
      <c r="BC193" s="47">
        <f>AW193+AX193</f>
        <v>0</v>
      </c>
      <c r="BD193" s="47">
        <f>G193/(100-BE193)*100</f>
        <v>0</v>
      </c>
      <c r="BE193" s="47">
        <v>0</v>
      </c>
      <c r="BF193" s="47">
        <f>L193</f>
        <v>0.004</v>
      </c>
      <c r="BH193" s="28">
        <f>F193*AO193</f>
        <v>0</v>
      </c>
      <c r="BI193" s="28">
        <f>F193*AP193</f>
        <v>0</v>
      </c>
      <c r="BJ193" s="28">
        <f>F193*G193</f>
        <v>0</v>
      </c>
      <c r="BK193" s="28" t="s">
        <v>577</v>
      </c>
      <c r="BL193" s="47">
        <v>767</v>
      </c>
    </row>
    <row r="194" spans="1:14" ht="12.75">
      <c r="A194" s="5"/>
      <c r="C194" s="18" t="s">
        <v>8</v>
      </c>
      <c r="D194" s="20" t="s">
        <v>482</v>
      </c>
      <c r="F194" s="27">
        <v>2</v>
      </c>
      <c r="M194" s="42"/>
      <c r="N194" s="5"/>
    </row>
    <row r="195" spans="1:64" ht="12.75">
      <c r="A195" s="4" t="s">
        <v>83</v>
      </c>
      <c r="B195" s="14" t="s">
        <v>203</v>
      </c>
      <c r="C195" s="244" t="s">
        <v>370</v>
      </c>
      <c r="D195" s="245"/>
      <c r="E195" s="14" t="s">
        <v>507</v>
      </c>
      <c r="F195" s="26">
        <v>0.15209</v>
      </c>
      <c r="G195" s="155">
        <v>0</v>
      </c>
      <c r="H195" s="26">
        <f>F195*AO195</f>
        <v>0</v>
      </c>
      <c r="I195" s="26">
        <f>F195*AP195</f>
        <v>0</v>
      </c>
      <c r="J195" s="26">
        <f>F195*G195</f>
        <v>0</v>
      </c>
      <c r="K195" s="26">
        <v>0</v>
      </c>
      <c r="L195" s="26">
        <f>F195*K195</f>
        <v>0</v>
      </c>
      <c r="M195" s="41" t="s">
        <v>683</v>
      </c>
      <c r="N195" s="5"/>
      <c r="Z195" s="47">
        <f>IF(AQ195="5",BJ195,0)</f>
        <v>0</v>
      </c>
      <c r="AB195" s="47">
        <f>IF(AQ195="1",BH195,0)</f>
        <v>0</v>
      </c>
      <c r="AC195" s="47">
        <f>IF(AQ195="1",BI195,0)</f>
        <v>0</v>
      </c>
      <c r="AD195" s="47">
        <f>IF(AQ195="7",BH195,0)</f>
        <v>0</v>
      </c>
      <c r="AE195" s="47">
        <f>IF(AQ195="7",BI195,0)</f>
        <v>0</v>
      </c>
      <c r="AF195" s="47">
        <f>IF(AQ195="2",BH195,0)</f>
        <v>0</v>
      </c>
      <c r="AG195" s="47">
        <f>IF(AQ195="2",BI195,0)</f>
        <v>0</v>
      </c>
      <c r="AH195" s="47">
        <f>IF(AQ195="0",BJ195,0)</f>
        <v>0</v>
      </c>
      <c r="AI195" s="37"/>
      <c r="AJ195" s="26">
        <f>IF(AN195=0,J195,0)</f>
        <v>0</v>
      </c>
      <c r="AK195" s="26">
        <f>IF(AN195=15,J195,0)</f>
        <v>0</v>
      </c>
      <c r="AL195" s="26">
        <f>IF(AN195=21,J195,0)</f>
        <v>0</v>
      </c>
      <c r="AN195" s="47">
        <v>21</v>
      </c>
      <c r="AO195" s="47">
        <f>G195*0</f>
        <v>0</v>
      </c>
      <c r="AP195" s="47">
        <f>G195*(1-0)</f>
        <v>0</v>
      </c>
      <c r="AQ195" s="48" t="s">
        <v>11</v>
      </c>
      <c r="AV195" s="47">
        <f>AW195+AX195</f>
        <v>0</v>
      </c>
      <c r="AW195" s="47">
        <f>F195*AO195</f>
        <v>0</v>
      </c>
      <c r="AX195" s="47">
        <f>F195*AP195</f>
        <v>0</v>
      </c>
      <c r="AY195" s="50" t="s">
        <v>552</v>
      </c>
      <c r="AZ195" s="50" t="s">
        <v>567</v>
      </c>
      <c r="BA195" s="37" t="s">
        <v>571</v>
      </c>
      <c r="BC195" s="47">
        <f>AW195+AX195</f>
        <v>0</v>
      </c>
      <c r="BD195" s="47">
        <f>G195/(100-BE195)*100</f>
        <v>0</v>
      </c>
      <c r="BE195" s="47">
        <v>0</v>
      </c>
      <c r="BF195" s="47">
        <f>L195</f>
        <v>0</v>
      </c>
      <c r="BH195" s="26">
        <f>F195*AO195</f>
        <v>0</v>
      </c>
      <c r="BI195" s="26">
        <f>F195*AP195</f>
        <v>0</v>
      </c>
      <c r="BJ195" s="26">
        <f>F195*G195</f>
        <v>0</v>
      </c>
      <c r="BK195" s="26" t="s">
        <v>576</v>
      </c>
      <c r="BL195" s="47">
        <v>767</v>
      </c>
    </row>
    <row r="196" spans="1:47" ht="12.75">
      <c r="A196" s="6"/>
      <c r="B196" s="15" t="s">
        <v>204</v>
      </c>
      <c r="C196" s="249" t="s">
        <v>371</v>
      </c>
      <c r="D196" s="250"/>
      <c r="E196" s="24" t="s">
        <v>6</v>
      </c>
      <c r="F196" s="24" t="s">
        <v>6</v>
      </c>
      <c r="G196" s="24" t="s">
        <v>6</v>
      </c>
      <c r="H196" s="53">
        <f>SUM(H197:H204)</f>
        <v>0</v>
      </c>
      <c r="I196" s="53">
        <f>SUM(I197:I204)</f>
        <v>0</v>
      </c>
      <c r="J196" s="53">
        <f>SUM(J197:J204)</f>
        <v>0</v>
      </c>
      <c r="K196" s="37"/>
      <c r="L196" s="53">
        <f>SUM(L197:L204)</f>
        <v>0.5248843799999999</v>
      </c>
      <c r="M196" s="43"/>
      <c r="N196" s="5"/>
      <c r="AI196" s="37"/>
      <c r="AS196" s="53">
        <f>SUM(AJ197:AJ204)</f>
        <v>0</v>
      </c>
      <c r="AT196" s="53">
        <f>SUM(AK197:AK204)</f>
        <v>0</v>
      </c>
      <c r="AU196" s="53">
        <f>SUM(AL197:AL204)</f>
        <v>0</v>
      </c>
    </row>
    <row r="197" spans="1:64" ht="12.75">
      <c r="A197" s="4" t="s">
        <v>84</v>
      </c>
      <c r="B197" s="14" t="s">
        <v>205</v>
      </c>
      <c r="C197" s="244" t="s">
        <v>372</v>
      </c>
      <c r="D197" s="245"/>
      <c r="E197" s="14" t="s">
        <v>505</v>
      </c>
      <c r="F197" s="26">
        <v>21.57</v>
      </c>
      <c r="G197" s="155">
        <v>0</v>
      </c>
      <c r="H197" s="26">
        <f>F197*AO197</f>
        <v>0</v>
      </c>
      <c r="I197" s="26">
        <f>F197*AP197</f>
        <v>0</v>
      </c>
      <c r="J197" s="26">
        <f>F197*G197</f>
        <v>0</v>
      </c>
      <c r="K197" s="26">
        <v>0</v>
      </c>
      <c r="L197" s="26">
        <f>F197*K197</f>
        <v>0</v>
      </c>
      <c r="M197" s="41" t="s">
        <v>683</v>
      </c>
      <c r="N197" s="5"/>
      <c r="Z197" s="47">
        <f>IF(AQ197="5",BJ197,0)</f>
        <v>0</v>
      </c>
      <c r="AB197" s="47">
        <f>IF(AQ197="1",BH197,0)</f>
        <v>0</v>
      </c>
      <c r="AC197" s="47">
        <f>IF(AQ197="1",BI197,0)</f>
        <v>0</v>
      </c>
      <c r="AD197" s="47">
        <f>IF(AQ197="7",BH197,0)</f>
        <v>0</v>
      </c>
      <c r="AE197" s="47">
        <f>IF(AQ197="7",BI197,0)</f>
        <v>0</v>
      </c>
      <c r="AF197" s="47">
        <f>IF(AQ197="2",BH197,0)</f>
        <v>0</v>
      </c>
      <c r="AG197" s="47">
        <f>IF(AQ197="2",BI197,0)</f>
        <v>0</v>
      </c>
      <c r="AH197" s="47">
        <f>IF(AQ197="0",BJ197,0)</f>
        <v>0</v>
      </c>
      <c r="AI197" s="37"/>
      <c r="AJ197" s="26">
        <f>IF(AN197=0,J197,0)</f>
        <v>0</v>
      </c>
      <c r="AK197" s="26">
        <f>IF(AN197=15,J197,0)</f>
        <v>0</v>
      </c>
      <c r="AL197" s="26">
        <f>IF(AN197=21,J197,0)</f>
        <v>0</v>
      </c>
      <c r="AN197" s="47">
        <v>21</v>
      </c>
      <c r="AO197" s="47">
        <f>G197*0.491172134533493</f>
        <v>0</v>
      </c>
      <c r="AP197" s="47">
        <f>G197*(1-0.491172134533493)</f>
        <v>0</v>
      </c>
      <c r="AQ197" s="48" t="s">
        <v>13</v>
      </c>
      <c r="AV197" s="47">
        <f>AW197+AX197</f>
        <v>0</v>
      </c>
      <c r="AW197" s="47">
        <f>F197*AO197</f>
        <v>0</v>
      </c>
      <c r="AX197" s="47">
        <f>F197*AP197</f>
        <v>0</v>
      </c>
      <c r="AY197" s="50" t="s">
        <v>553</v>
      </c>
      <c r="AZ197" s="50" t="s">
        <v>568</v>
      </c>
      <c r="BA197" s="37" t="s">
        <v>571</v>
      </c>
      <c r="BC197" s="47">
        <f>AW197+AX197</f>
        <v>0</v>
      </c>
      <c r="BD197" s="47">
        <f>G197/(100-BE197)*100</f>
        <v>0</v>
      </c>
      <c r="BE197" s="47">
        <v>0</v>
      </c>
      <c r="BF197" s="47">
        <f>L197</f>
        <v>0</v>
      </c>
      <c r="BH197" s="26">
        <f>F197*AO197</f>
        <v>0</v>
      </c>
      <c r="BI197" s="26">
        <f>F197*AP197</f>
        <v>0</v>
      </c>
      <c r="BJ197" s="26">
        <f>F197*G197</f>
        <v>0</v>
      </c>
      <c r="BK197" s="26" t="s">
        <v>576</v>
      </c>
      <c r="BL197" s="47">
        <v>771</v>
      </c>
    </row>
    <row r="198" spans="1:14" ht="12.75">
      <c r="A198" s="5"/>
      <c r="C198" s="18" t="s">
        <v>265</v>
      </c>
      <c r="D198" s="20" t="s">
        <v>445</v>
      </c>
      <c r="F198" s="27">
        <v>21.57</v>
      </c>
      <c r="M198" s="42"/>
      <c r="N198" s="5"/>
    </row>
    <row r="199" spans="1:64" ht="12.75">
      <c r="A199" s="4" t="s">
        <v>85</v>
      </c>
      <c r="B199" s="14" t="s">
        <v>206</v>
      </c>
      <c r="C199" s="244" t="s">
        <v>373</v>
      </c>
      <c r="D199" s="245"/>
      <c r="E199" s="14" t="s">
        <v>505</v>
      </c>
      <c r="F199" s="26">
        <v>21.57</v>
      </c>
      <c r="G199" s="155">
        <v>0</v>
      </c>
      <c r="H199" s="26">
        <f>F199*AO199</f>
        <v>0</v>
      </c>
      <c r="I199" s="26">
        <f>F199*AP199</f>
        <v>0</v>
      </c>
      <c r="J199" s="26">
        <f>F199*G199</f>
        <v>0</v>
      </c>
      <c r="K199" s="26">
        <v>0.00475</v>
      </c>
      <c r="L199" s="26">
        <f>F199*K199</f>
        <v>0.10245749999999999</v>
      </c>
      <c r="M199" s="41" t="s">
        <v>683</v>
      </c>
      <c r="N199" s="5"/>
      <c r="Z199" s="47">
        <f>IF(AQ199="5",BJ199,0)</f>
        <v>0</v>
      </c>
      <c r="AB199" s="47">
        <f>IF(AQ199="1",BH199,0)</f>
        <v>0</v>
      </c>
      <c r="AC199" s="47">
        <f>IF(AQ199="1",BI199,0)</f>
        <v>0</v>
      </c>
      <c r="AD199" s="47">
        <f>IF(AQ199="7",BH199,0)</f>
        <v>0</v>
      </c>
      <c r="AE199" s="47">
        <f>IF(AQ199="7",BI199,0)</f>
        <v>0</v>
      </c>
      <c r="AF199" s="47">
        <f>IF(AQ199="2",BH199,0)</f>
        <v>0</v>
      </c>
      <c r="AG199" s="47">
        <f>IF(AQ199="2",BI199,0)</f>
        <v>0</v>
      </c>
      <c r="AH199" s="47">
        <f>IF(AQ199="0",BJ199,0)</f>
        <v>0</v>
      </c>
      <c r="AI199" s="37"/>
      <c r="AJ199" s="26">
        <f>IF(AN199=0,J199,0)</f>
        <v>0</v>
      </c>
      <c r="AK199" s="26">
        <f>IF(AN199=15,J199,0)</f>
        <v>0</v>
      </c>
      <c r="AL199" s="26">
        <f>IF(AN199=21,J199,0)</f>
        <v>0</v>
      </c>
      <c r="AN199" s="47">
        <v>21</v>
      </c>
      <c r="AO199" s="47">
        <f>G199*0.202569060741132</f>
        <v>0</v>
      </c>
      <c r="AP199" s="47">
        <f>G199*(1-0.202569060741132)</f>
        <v>0</v>
      </c>
      <c r="AQ199" s="48" t="s">
        <v>13</v>
      </c>
      <c r="AV199" s="47">
        <f>AW199+AX199</f>
        <v>0</v>
      </c>
      <c r="AW199" s="47">
        <f>F199*AO199</f>
        <v>0</v>
      </c>
      <c r="AX199" s="47">
        <f>F199*AP199</f>
        <v>0</v>
      </c>
      <c r="AY199" s="50" t="s">
        <v>553</v>
      </c>
      <c r="AZ199" s="50" t="s">
        <v>568</v>
      </c>
      <c r="BA199" s="37" t="s">
        <v>571</v>
      </c>
      <c r="BC199" s="47">
        <f>AW199+AX199</f>
        <v>0</v>
      </c>
      <c r="BD199" s="47">
        <f>G199/(100-BE199)*100</f>
        <v>0</v>
      </c>
      <c r="BE199" s="47">
        <v>0</v>
      </c>
      <c r="BF199" s="47">
        <f>L199</f>
        <v>0.10245749999999999</v>
      </c>
      <c r="BH199" s="26">
        <f>F199*AO199</f>
        <v>0</v>
      </c>
      <c r="BI199" s="26">
        <f>F199*AP199</f>
        <v>0</v>
      </c>
      <c r="BJ199" s="26">
        <f>F199*G199</f>
        <v>0</v>
      </c>
      <c r="BK199" s="26" t="s">
        <v>576</v>
      </c>
      <c r="BL199" s="47">
        <v>771</v>
      </c>
    </row>
    <row r="200" spans="1:14" ht="12.75">
      <c r="A200" s="5"/>
      <c r="C200" s="18" t="s">
        <v>265</v>
      </c>
      <c r="D200" s="20" t="s">
        <v>445</v>
      </c>
      <c r="F200" s="27">
        <v>21.57</v>
      </c>
      <c r="M200" s="42"/>
      <c r="N200" s="5"/>
    </row>
    <row r="201" spans="1:64" ht="12.75">
      <c r="A201" s="7" t="s">
        <v>86</v>
      </c>
      <c r="B201" s="16" t="s">
        <v>207</v>
      </c>
      <c r="C201" s="247" t="s">
        <v>374</v>
      </c>
      <c r="D201" s="248"/>
      <c r="E201" s="16" t="s">
        <v>505</v>
      </c>
      <c r="F201" s="28">
        <v>22.0014</v>
      </c>
      <c r="G201" s="156">
        <v>0</v>
      </c>
      <c r="H201" s="28">
        <f>F201*AO201</f>
        <v>0</v>
      </c>
      <c r="I201" s="28">
        <f>F201*AP201</f>
        <v>0</v>
      </c>
      <c r="J201" s="28">
        <f>F201*G201</f>
        <v>0</v>
      </c>
      <c r="K201" s="28">
        <v>0.0192</v>
      </c>
      <c r="L201" s="28">
        <f>F201*K201</f>
        <v>0.42242687999999995</v>
      </c>
      <c r="M201" s="41" t="s">
        <v>683</v>
      </c>
      <c r="N201" s="5"/>
      <c r="Z201" s="47">
        <f>IF(AQ201="5",BJ201,0)</f>
        <v>0</v>
      </c>
      <c r="AB201" s="47">
        <f>IF(AQ201="1",BH201,0)</f>
        <v>0</v>
      </c>
      <c r="AC201" s="47">
        <f>IF(AQ201="1",BI201,0)</f>
        <v>0</v>
      </c>
      <c r="AD201" s="47">
        <f>IF(AQ201="7",BH201,0)</f>
        <v>0</v>
      </c>
      <c r="AE201" s="47">
        <f>IF(AQ201="7",BI201,0)</f>
        <v>0</v>
      </c>
      <c r="AF201" s="47">
        <f>IF(AQ201="2",BH201,0)</f>
        <v>0</v>
      </c>
      <c r="AG201" s="47">
        <f>IF(AQ201="2",BI201,0)</f>
        <v>0</v>
      </c>
      <c r="AH201" s="47">
        <f>IF(AQ201="0",BJ201,0)</f>
        <v>0</v>
      </c>
      <c r="AI201" s="37"/>
      <c r="AJ201" s="28">
        <f>IF(AN201=0,J201,0)</f>
        <v>0</v>
      </c>
      <c r="AK201" s="28">
        <f>IF(AN201=15,J201,0)</f>
        <v>0</v>
      </c>
      <c r="AL201" s="28">
        <f>IF(AN201=21,J201,0)</f>
        <v>0</v>
      </c>
      <c r="AN201" s="47">
        <v>21</v>
      </c>
      <c r="AO201" s="47">
        <f>G201*1</f>
        <v>0</v>
      </c>
      <c r="AP201" s="47">
        <f>G201*(1-1)</f>
        <v>0</v>
      </c>
      <c r="AQ201" s="49" t="s">
        <v>13</v>
      </c>
      <c r="AV201" s="47">
        <f>AW201+AX201</f>
        <v>0</v>
      </c>
      <c r="AW201" s="47">
        <f>F201*AO201</f>
        <v>0</v>
      </c>
      <c r="AX201" s="47">
        <f>F201*AP201</f>
        <v>0</v>
      </c>
      <c r="AY201" s="50" t="s">
        <v>553</v>
      </c>
      <c r="AZ201" s="50" t="s">
        <v>568</v>
      </c>
      <c r="BA201" s="37" t="s">
        <v>571</v>
      </c>
      <c r="BC201" s="47">
        <f>AW201+AX201</f>
        <v>0</v>
      </c>
      <c r="BD201" s="47">
        <f>G201/(100-BE201)*100</f>
        <v>0</v>
      </c>
      <c r="BE201" s="47">
        <v>0</v>
      </c>
      <c r="BF201" s="47">
        <f>L201</f>
        <v>0.42242687999999995</v>
      </c>
      <c r="BH201" s="28">
        <f>F201*AO201</f>
        <v>0</v>
      </c>
      <c r="BI201" s="28">
        <f>F201*AP201</f>
        <v>0</v>
      </c>
      <c r="BJ201" s="28">
        <f>F201*G201</f>
        <v>0</v>
      </c>
      <c r="BK201" s="28" t="s">
        <v>577</v>
      </c>
      <c r="BL201" s="47">
        <v>771</v>
      </c>
    </row>
    <row r="202" spans="1:14" ht="12.75">
      <c r="A202" s="5"/>
      <c r="C202" s="18" t="s">
        <v>265</v>
      </c>
      <c r="D202" s="20" t="s">
        <v>445</v>
      </c>
      <c r="F202" s="27">
        <v>21.57</v>
      </c>
      <c r="M202" s="42"/>
      <c r="N202" s="5"/>
    </row>
    <row r="203" spans="1:14" ht="12.75">
      <c r="A203" s="5"/>
      <c r="C203" s="18" t="s">
        <v>375</v>
      </c>
      <c r="D203" s="20"/>
      <c r="F203" s="27">
        <v>0.4314</v>
      </c>
      <c r="M203" s="42"/>
      <c r="N203" s="5"/>
    </row>
    <row r="204" spans="1:64" ht="12.75">
      <c r="A204" s="4" t="s">
        <v>87</v>
      </c>
      <c r="B204" s="14" t="s">
        <v>208</v>
      </c>
      <c r="C204" s="244" t="s">
        <v>376</v>
      </c>
      <c r="D204" s="245"/>
      <c r="E204" s="14" t="s">
        <v>507</v>
      </c>
      <c r="F204" s="26">
        <v>0.52488</v>
      </c>
      <c r="G204" s="155">
        <v>0</v>
      </c>
      <c r="H204" s="26">
        <f>F204*AO204</f>
        <v>0</v>
      </c>
      <c r="I204" s="26">
        <f>F204*AP204</f>
        <v>0</v>
      </c>
      <c r="J204" s="26">
        <f>F204*G204</f>
        <v>0</v>
      </c>
      <c r="K204" s="26">
        <v>0</v>
      </c>
      <c r="L204" s="26">
        <f>F204*K204</f>
        <v>0</v>
      </c>
      <c r="M204" s="41" t="s">
        <v>683</v>
      </c>
      <c r="N204" s="5"/>
      <c r="Z204" s="47">
        <f>IF(AQ204="5",BJ204,0)</f>
        <v>0</v>
      </c>
      <c r="AB204" s="47">
        <f>IF(AQ204="1",BH204,0)</f>
        <v>0</v>
      </c>
      <c r="AC204" s="47">
        <f>IF(AQ204="1",BI204,0)</f>
        <v>0</v>
      </c>
      <c r="AD204" s="47">
        <f>IF(AQ204="7",BH204,0)</f>
        <v>0</v>
      </c>
      <c r="AE204" s="47">
        <f>IF(AQ204="7",BI204,0)</f>
        <v>0</v>
      </c>
      <c r="AF204" s="47">
        <f>IF(AQ204="2",BH204,0)</f>
        <v>0</v>
      </c>
      <c r="AG204" s="47">
        <f>IF(AQ204="2",BI204,0)</f>
        <v>0</v>
      </c>
      <c r="AH204" s="47">
        <f>IF(AQ204="0",BJ204,0)</f>
        <v>0</v>
      </c>
      <c r="AI204" s="37"/>
      <c r="AJ204" s="26">
        <f>IF(AN204=0,J204,0)</f>
        <v>0</v>
      </c>
      <c r="AK204" s="26">
        <f>IF(AN204=15,J204,0)</f>
        <v>0</v>
      </c>
      <c r="AL204" s="26">
        <f>IF(AN204=21,J204,0)</f>
        <v>0</v>
      </c>
      <c r="AN204" s="47">
        <v>21</v>
      </c>
      <c r="AO204" s="47">
        <f>G204*0</f>
        <v>0</v>
      </c>
      <c r="AP204" s="47">
        <f>G204*(1-0)</f>
        <v>0</v>
      </c>
      <c r="AQ204" s="48" t="s">
        <v>11</v>
      </c>
      <c r="AV204" s="47">
        <f>AW204+AX204</f>
        <v>0</v>
      </c>
      <c r="AW204" s="47">
        <f>F204*AO204</f>
        <v>0</v>
      </c>
      <c r="AX204" s="47">
        <f>F204*AP204</f>
        <v>0</v>
      </c>
      <c r="AY204" s="50" t="s">
        <v>553</v>
      </c>
      <c r="AZ204" s="50" t="s">
        <v>568</v>
      </c>
      <c r="BA204" s="37" t="s">
        <v>571</v>
      </c>
      <c r="BC204" s="47">
        <f>AW204+AX204</f>
        <v>0</v>
      </c>
      <c r="BD204" s="47">
        <f>G204/(100-BE204)*100</f>
        <v>0</v>
      </c>
      <c r="BE204" s="47">
        <v>0</v>
      </c>
      <c r="BF204" s="47">
        <f>L204</f>
        <v>0</v>
      </c>
      <c r="BH204" s="26">
        <f>F204*AO204</f>
        <v>0</v>
      </c>
      <c r="BI204" s="26">
        <f>F204*AP204</f>
        <v>0</v>
      </c>
      <c r="BJ204" s="26">
        <f>F204*G204</f>
        <v>0</v>
      </c>
      <c r="BK204" s="26" t="s">
        <v>576</v>
      </c>
      <c r="BL204" s="47">
        <v>771</v>
      </c>
    </row>
    <row r="205" spans="1:47" ht="12.75">
      <c r="A205" s="6"/>
      <c r="B205" s="15" t="s">
        <v>209</v>
      </c>
      <c r="C205" s="249" t="s">
        <v>377</v>
      </c>
      <c r="D205" s="250"/>
      <c r="E205" s="24" t="s">
        <v>6</v>
      </c>
      <c r="F205" s="24" t="s">
        <v>6</v>
      </c>
      <c r="G205" s="24" t="s">
        <v>6</v>
      </c>
      <c r="H205" s="53">
        <f>SUM(H206:H215)</f>
        <v>0</v>
      </c>
      <c r="I205" s="53">
        <f>SUM(I206:I215)</f>
        <v>0</v>
      </c>
      <c r="J205" s="53">
        <f>SUM(J206:J215)</f>
        <v>0</v>
      </c>
      <c r="K205" s="37"/>
      <c r="L205" s="53">
        <f>SUM(L206:L215)</f>
        <v>1.102233852</v>
      </c>
      <c r="M205" s="43"/>
      <c r="N205" s="5"/>
      <c r="AI205" s="37"/>
      <c r="AS205" s="53">
        <f>SUM(AJ206:AJ215)</f>
        <v>0</v>
      </c>
      <c r="AT205" s="53">
        <f>SUM(AK206:AK215)</f>
        <v>0</v>
      </c>
      <c r="AU205" s="53">
        <f>SUM(AL206:AL215)</f>
        <v>0</v>
      </c>
    </row>
    <row r="206" spans="1:64" ht="12.75">
      <c r="A206" s="4" t="s">
        <v>88</v>
      </c>
      <c r="B206" s="14" t="s">
        <v>210</v>
      </c>
      <c r="C206" s="244" t="s">
        <v>378</v>
      </c>
      <c r="D206" s="245"/>
      <c r="E206" s="14" t="s">
        <v>505</v>
      </c>
      <c r="F206" s="26">
        <v>59.394</v>
      </c>
      <c r="G206" s="155">
        <v>0</v>
      </c>
      <c r="H206" s="26">
        <f>F206*AO206</f>
        <v>0</v>
      </c>
      <c r="I206" s="26">
        <f>F206*AP206</f>
        <v>0</v>
      </c>
      <c r="J206" s="26">
        <f>F206*G206</f>
        <v>0</v>
      </c>
      <c r="K206" s="26">
        <v>0</v>
      </c>
      <c r="L206" s="26">
        <f>F206*K206</f>
        <v>0</v>
      </c>
      <c r="M206" s="41" t="s">
        <v>683</v>
      </c>
      <c r="N206" s="5"/>
      <c r="Z206" s="47">
        <f>IF(AQ206="5",BJ206,0)</f>
        <v>0</v>
      </c>
      <c r="AB206" s="47">
        <f>IF(AQ206="1",BH206,0)</f>
        <v>0</v>
      </c>
      <c r="AC206" s="47">
        <f>IF(AQ206="1",BI206,0)</f>
        <v>0</v>
      </c>
      <c r="AD206" s="47">
        <f>IF(AQ206="7",BH206,0)</f>
        <v>0</v>
      </c>
      <c r="AE206" s="47">
        <f>IF(AQ206="7",BI206,0)</f>
        <v>0</v>
      </c>
      <c r="AF206" s="47">
        <f>IF(AQ206="2",BH206,0)</f>
        <v>0</v>
      </c>
      <c r="AG206" s="47">
        <f>IF(AQ206="2",BI206,0)</f>
        <v>0</v>
      </c>
      <c r="AH206" s="47">
        <f>IF(AQ206="0",BJ206,0)</f>
        <v>0</v>
      </c>
      <c r="AI206" s="37"/>
      <c r="AJ206" s="26">
        <f>IF(AN206=0,J206,0)</f>
        <v>0</v>
      </c>
      <c r="AK206" s="26">
        <f>IF(AN206=15,J206,0)</f>
        <v>0</v>
      </c>
      <c r="AL206" s="26">
        <f>IF(AN206=21,J206,0)</f>
        <v>0</v>
      </c>
      <c r="AN206" s="47">
        <v>21</v>
      </c>
      <c r="AO206" s="47">
        <f>G206*0</f>
        <v>0</v>
      </c>
      <c r="AP206" s="47">
        <f>G206*(1-0)</f>
        <v>0</v>
      </c>
      <c r="AQ206" s="48" t="s">
        <v>13</v>
      </c>
      <c r="AV206" s="47">
        <f>AW206+AX206</f>
        <v>0</v>
      </c>
      <c r="AW206" s="47">
        <f>F206*AO206</f>
        <v>0</v>
      </c>
      <c r="AX206" s="47">
        <f>F206*AP206</f>
        <v>0</v>
      </c>
      <c r="AY206" s="50" t="s">
        <v>554</v>
      </c>
      <c r="AZ206" s="50" t="s">
        <v>569</v>
      </c>
      <c r="BA206" s="37" t="s">
        <v>571</v>
      </c>
      <c r="BC206" s="47">
        <f>AW206+AX206</f>
        <v>0</v>
      </c>
      <c r="BD206" s="47">
        <f>G206/(100-BE206)*100</f>
        <v>0</v>
      </c>
      <c r="BE206" s="47">
        <v>0</v>
      </c>
      <c r="BF206" s="47">
        <f>L206</f>
        <v>0</v>
      </c>
      <c r="BH206" s="26">
        <f>F206*AO206</f>
        <v>0</v>
      </c>
      <c r="BI206" s="26">
        <f>F206*AP206</f>
        <v>0</v>
      </c>
      <c r="BJ206" s="26">
        <f>F206*G206</f>
        <v>0</v>
      </c>
      <c r="BK206" s="26" t="s">
        <v>576</v>
      </c>
      <c r="BL206" s="47">
        <v>781</v>
      </c>
    </row>
    <row r="207" spans="1:14" ht="12.75">
      <c r="A207" s="5"/>
      <c r="C207" s="18" t="s">
        <v>259</v>
      </c>
      <c r="D207" s="20" t="s">
        <v>442</v>
      </c>
      <c r="F207" s="27">
        <v>59.394</v>
      </c>
      <c r="M207" s="42"/>
      <c r="N207" s="5"/>
    </row>
    <row r="208" spans="1:64" ht="12.75">
      <c r="A208" s="7" t="s">
        <v>89</v>
      </c>
      <c r="B208" s="16" t="s">
        <v>211</v>
      </c>
      <c r="C208" s="247" t="s">
        <v>379</v>
      </c>
      <c r="D208" s="248"/>
      <c r="E208" s="16" t="s">
        <v>505</v>
      </c>
      <c r="F208" s="28">
        <v>61.17582</v>
      </c>
      <c r="G208" s="156">
        <v>0</v>
      </c>
      <c r="H208" s="28">
        <f>F208*AO208</f>
        <v>0</v>
      </c>
      <c r="I208" s="28">
        <f>F208*AP208</f>
        <v>0</v>
      </c>
      <c r="J208" s="28">
        <f>F208*G208</f>
        <v>0</v>
      </c>
      <c r="K208" s="28">
        <v>0.0136</v>
      </c>
      <c r="L208" s="28">
        <f>F208*K208</f>
        <v>0.831991152</v>
      </c>
      <c r="M208" s="41" t="s">
        <v>683</v>
      </c>
      <c r="N208" s="5"/>
      <c r="Z208" s="47">
        <f>IF(AQ208="5",BJ208,0)</f>
        <v>0</v>
      </c>
      <c r="AB208" s="47">
        <f>IF(AQ208="1",BH208,0)</f>
        <v>0</v>
      </c>
      <c r="AC208" s="47">
        <f>IF(AQ208="1",BI208,0)</f>
        <v>0</v>
      </c>
      <c r="AD208" s="47">
        <f>IF(AQ208="7",BH208,0)</f>
        <v>0</v>
      </c>
      <c r="AE208" s="47">
        <f>IF(AQ208="7",BI208,0)</f>
        <v>0</v>
      </c>
      <c r="AF208" s="47">
        <f>IF(AQ208="2",BH208,0)</f>
        <v>0</v>
      </c>
      <c r="AG208" s="47">
        <f>IF(AQ208="2",BI208,0)</f>
        <v>0</v>
      </c>
      <c r="AH208" s="47">
        <f>IF(AQ208="0",BJ208,0)</f>
        <v>0</v>
      </c>
      <c r="AI208" s="37"/>
      <c r="AJ208" s="28">
        <f>IF(AN208=0,J208,0)</f>
        <v>0</v>
      </c>
      <c r="AK208" s="28">
        <f>IF(AN208=15,J208,0)</f>
        <v>0</v>
      </c>
      <c r="AL208" s="28">
        <f>IF(AN208=21,J208,0)</f>
        <v>0</v>
      </c>
      <c r="AN208" s="47">
        <v>21</v>
      </c>
      <c r="AO208" s="47">
        <f>G208*1</f>
        <v>0</v>
      </c>
      <c r="AP208" s="47">
        <f>G208*(1-1)</f>
        <v>0</v>
      </c>
      <c r="AQ208" s="49" t="s">
        <v>13</v>
      </c>
      <c r="AV208" s="47">
        <f>AW208+AX208</f>
        <v>0</v>
      </c>
      <c r="AW208" s="47">
        <f>F208*AO208</f>
        <v>0</v>
      </c>
      <c r="AX208" s="47">
        <f>F208*AP208</f>
        <v>0</v>
      </c>
      <c r="AY208" s="50" t="s">
        <v>554</v>
      </c>
      <c r="AZ208" s="50" t="s">
        <v>569</v>
      </c>
      <c r="BA208" s="37" t="s">
        <v>571</v>
      </c>
      <c r="BC208" s="47">
        <f>AW208+AX208</f>
        <v>0</v>
      </c>
      <c r="BD208" s="47">
        <f>G208/(100-BE208)*100</f>
        <v>0</v>
      </c>
      <c r="BE208" s="47">
        <v>0</v>
      </c>
      <c r="BF208" s="47">
        <f>L208</f>
        <v>0.831991152</v>
      </c>
      <c r="BH208" s="28">
        <f>F208*AO208</f>
        <v>0</v>
      </c>
      <c r="BI208" s="28">
        <f>F208*AP208</f>
        <v>0</v>
      </c>
      <c r="BJ208" s="28">
        <f>F208*G208</f>
        <v>0</v>
      </c>
      <c r="BK208" s="28" t="s">
        <v>577</v>
      </c>
      <c r="BL208" s="47">
        <v>781</v>
      </c>
    </row>
    <row r="209" spans="1:14" ht="12.75">
      <c r="A209" s="5"/>
      <c r="C209" s="18" t="s">
        <v>259</v>
      </c>
      <c r="D209" s="20" t="s">
        <v>483</v>
      </c>
      <c r="F209" s="27">
        <v>59.394</v>
      </c>
      <c r="M209" s="42"/>
      <c r="N209" s="5"/>
    </row>
    <row r="210" spans="1:14" ht="12.75">
      <c r="A210" s="5"/>
      <c r="C210" s="18" t="s">
        <v>380</v>
      </c>
      <c r="D210" s="20"/>
      <c r="F210" s="27">
        <v>1.78182</v>
      </c>
      <c r="M210" s="42"/>
      <c r="N210" s="5"/>
    </row>
    <row r="211" spans="1:64" ht="12.75">
      <c r="A211" s="4" t="s">
        <v>90</v>
      </c>
      <c r="B211" s="14" t="s">
        <v>212</v>
      </c>
      <c r="C211" s="244" t="s">
        <v>381</v>
      </c>
      <c r="D211" s="245"/>
      <c r="E211" s="14" t="s">
        <v>505</v>
      </c>
      <c r="F211" s="26">
        <v>59.394</v>
      </c>
      <c r="G211" s="155">
        <v>0</v>
      </c>
      <c r="H211" s="26">
        <f>F211*AO211</f>
        <v>0</v>
      </c>
      <c r="I211" s="26">
        <f>F211*AP211</f>
        <v>0</v>
      </c>
      <c r="J211" s="26">
        <f>F211*G211</f>
        <v>0</v>
      </c>
      <c r="K211" s="26">
        <v>0.00455</v>
      </c>
      <c r="L211" s="26">
        <f>F211*K211</f>
        <v>0.2702427</v>
      </c>
      <c r="M211" s="41" t="s">
        <v>683</v>
      </c>
      <c r="N211" s="5"/>
      <c r="Z211" s="47">
        <f>IF(AQ211="5",BJ211,0)</f>
        <v>0</v>
      </c>
      <c r="AB211" s="47">
        <f>IF(AQ211="1",BH211,0)</f>
        <v>0</v>
      </c>
      <c r="AC211" s="47">
        <f>IF(AQ211="1",BI211,0)</f>
        <v>0</v>
      </c>
      <c r="AD211" s="47">
        <f>IF(AQ211="7",BH211,0)</f>
        <v>0</v>
      </c>
      <c r="AE211" s="47">
        <f>IF(AQ211="7",BI211,0)</f>
        <v>0</v>
      </c>
      <c r="AF211" s="47">
        <f>IF(AQ211="2",BH211,0)</f>
        <v>0</v>
      </c>
      <c r="AG211" s="47">
        <f>IF(AQ211="2",BI211,0)</f>
        <v>0</v>
      </c>
      <c r="AH211" s="47">
        <f>IF(AQ211="0",BJ211,0)</f>
        <v>0</v>
      </c>
      <c r="AI211" s="37"/>
      <c r="AJ211" s="26">
        <f>IF(AN211=0,J211,0)</f>
        <v>0</v>
      </c>
      <c r="AK211" s="26">
        <f>IF(AN211=15,J211,0)</f>
        <v>0</v>
      </c>
      <c r="AL211" s="26">
        <f>IF(AN211=21,J211,0)</f>
        <v>0</v>
      </c>
      <c r="AN211" s="47">
        <v>21</v>
      </c>
      <c r="AO211" s="47">
        <f>G211*0.136969237104704</f>
        <v>0</v>
      </c>
      <c r="AP211" s="47">
        <f>G211*(1-0.136969237104704)</f>
        <v>0</v>
      </c>
      <c r="AQ211" s="48" t="s">
        <v>13</v>
      </c>
      <c r="AV211" s="47">
        <f>AW211+AX211</f>
        <v>0</v>
      </c>
      <c r="AW211" s="47">
        <f>F211*AO211</f>
        <v>0</v>
      </c>
      <c r="AX211" s="47">
        <f>F211*AP211</f>
        <v>0</v>
      </c>
      <c r="AY211" s="50" t="s">
        <v>554</v>
      </c>
      <c r="AZ211" s="50" t="s">
        <v>569</v>
      </c>
      <c r="BA211" s="37" t="s">
        <v>571</v>
      </c>
      <c r="BC211" s="47">
        <f>AW211+AX211</f>
        <v>0</v>
      </c>
      <c r="BD211" s="47">
        <f>G211/(100-BE211)*100</f>
        <v>0</v>
      </c>
      <c r="BE211" s="47">
        <v>0</v>
      </c>
      <c r="BF211" s="47">
        <f>L211</f>
        <v>0.2702427</v>
      </c>
      <c r="BH211" s="26">
        <f>F211*AO211</f>
        <v>0</v>
      </c>
      <c r="BI211" s="26">
        <f>F211*AP211</f>
        <v>0</v>
      </c>
      <c r="BJ211" s="26">
        <f>F211*G211</f>
        <v>0</v>
      </c>
      <c r="BK211" s="26" t="s">
        <v>576</v>
      </c>
      <c r="BL211" s="47">
        <v>781</v>
      </c>
    </row>
    <row r="212" spans="1:14" ht="12.75">
      <c r="A212" s="5"/>
      <c r="C212" s="18" t="s">
        <v>382</v>
      </c>
      <c r="D212" s="20" t="s">
        <v>443</v>
      </c>
      <c r="F212" s="27">
        <v>26</v>
      </c>
      <c r="M212" s="42"/>
      <c r="N212" s="5"/>
    </row>
    <row r="213" spans="1:14" ht="12.75">
      <c r="A213" s="5"/>
      <c r="C213" s="18" t="s">
        <v>383</v>
      </c>
      <c r="D213" s="20" t="s">
        <v>444</v>
      </c>
      <c r="F213" s="27">
        <v>26.68</v>
      </c>
      <c r="M213" s="42"/>
      <c r="N213" s="5"/>
    </row>
    <row r="214" spans="1:14" ht="12.75">
      <c r="A214" s="5"/>
      <c r="C214" s="18" t="s">
        <v>384</v>
      </c>
      <c r="D214" s="20" t="s">
        <v>484</v>
      </c>
      <c r="F214" s="27">
        <v>6.714</v>
      </c>
      <c r="M214" s="42"/>
      <c r="N214" s="5"/>
    </row>
    <row r="215" spans="1:64" ht="12.75">
      <c r="A215" s="4" t="s">
        <v>91</v>
      </c>
      <c r="B215" s="14" t="s">
        <v>213</v>
      </c>
      <c r="C215" s="244" t="s">
        <v>385</v>
      </c>
      <c r="D215" s="245"/>
      <c r="E215" s="14" t="s">
        <v>507</v>
      </c>
      <c r="F215" s="26">
        <v>1.10223</v>
      </c>
      <c r="G215" s="155">
        <v>0</v>
      </c>
      <c r="H215" s="26">
        <f>F215*AO215</f>
        <v>0</v>
      </c>
      <c r="I215" s="26">
        <f>F215*AP215</f>
        <v>0</v>
      </c>
      <c r="J215" s="26">
        <f>F215*G215</f>
        <v>0</v>
      </c>
      <c r="K215" s="26">
        <v>0</v>
      </c>
      <c r="L215" s="26">
        <f>F215*K215</f>
        <v>0</v>
      </c>
      <c r="M215" s="41" t="s">
        <v>683</v>
      </c>
      <c r="N215" s="5"/>
      <c r="Z215" s="47">
        <f>IF(AQ215="5",BJ215,0)</f>
        <v>0</v>
      </c>
      <c r="AB215" s="47">
        <f>IF(AQ215="1",BH215,0)</f>
        <v>0</v>
      </c>
      <c r="AC215" s="47">
        <f>IF(AQ215="1",BI215,0)</f>
        <v>0</v>
      </c>
      <c r="AD215" s="47">
        <f>IF(AQ215="7",BH215,0)</f>
        <v>0</v>
      </c>
      <c r="AE215" s="47">
        <f>IF(AQ215="7",BI215,0)</f>
        <v>0</v>
      </c>
      <c r="AF215" s="47">
        <f>IF(AQ215="2",BH215,0)</f>
        <v>0</v>
      </c>
      <c r="AG215" s="47">
        <f>IF(AQ215="2",BI215,0)</f>
        <v>0</v>
      </c>
      <c r="AH215" s="47">
        <f>IF(AQ215="0",BJ215,0)</f>
        <v>0</v>
      </c>
      <c r="AI215" s="37"/>
      <c r="AJ215" s="26">
        <f>IF(AN215=0,J215,0)</f>
        <v>0</v>
      </c>
      <c r="AK215" s="26">
        <f>IF(AN215=15,J215,0)</f>
        <v>0</v>
      </c>
      <c r="AL215" s="26">
        <f>IF(AN215=21,J215,0)</f>
        <v>0</v>
      </c>
      <c r="AN215" s="47">
        <v>21</v>
      </c>
      <c r="AO215" s="47">
        <f>G215*0</f>
        <v>0</v>
      </c>
      <c r="AP215" s="47">
        <f>G215*(1-0)</f>
        <v>0</v>
      </c>
      <c r="AQ215" s="48" t="s">
        <v>11</v>
      </c>
      <c r="AV215" s="47">
        <f>AW215+AX215</f>
        <v>0</v>
      </c>
      <c r="AW215" s="47">
        <f>F215*AO215</f>
        <v>0</v>
      </c>
      <c r="AX215" s="47">
        <f>F215*AP215</f>
        <v>0</v>
      </c>
      <c r="AY215" s="50" t="s">
        <v>554</v>
      </c>
      <c r="AZ215" s="50" t="s">
        <v>569</v>
      </c>
      <c r="BA215" s="37" t="s">
        <v>571</v>
      </c>
      <c r="BC215" s="47">
        <f>AW215+AX215</f>
        <v>0</v>
      </c>
      <c r="BD215" s="47">
        <f>G215/(100-BE215)*100</f>
        <v>0</v>
      </c>
      <c r="BE215" s="47">
        <v>0</v>
      </c>
      <c r="BF215" s="47">
        <f>L215</f>
        <v>0</v>
      </c>
      <c r="BH215" s="26">
        <f>F215*AO215</f>
        <v>0</v>
      </c>
      <c r="BI215" s="26">
        <f>F215*AP215</f>
        <v>0</v>
      </c>
      <c r="BJ215" s="26">
        <f>F215*G215</f>
        <v>0</v>
      </c>
      <c r="BK215" s="26" t="s">
        <v>576</v>
      </c>
      <c r="BL215" s="47">
        <v>781</v>
      </c>
    </row>
    <row r="216" spans="1:47" ht="12.75">
      <c r="A216" s="6"/>
      <c r="B216" s="15" t="s">
        <v>214</v>
      </c>
      <c r="C216" s="249" t="s">
        <v>386</v>
      </c>
      <c r="D216" s="250"/>
      <c r="E216" s="24" t="s">
        <v>6</v>
      </c>
      <c r="F216" s="24" t="s">
        <v>6</v>
      </c>
      <c r="G216" s="24" t="s">
        <v>6</v>
      </c>
      <c r="H216" s="53">
        <f>SUM(H217:H217)</f>
        <v>0</v>
      </c>
      <c r="I216" s="53">
        <f>SUM(I217:I217)</f>
        <v>0</v>
      </c>
      <c r="J216" s="53">
        <f>SUM(J217:J217)</f>
        <v>0</v>
      </c>
      <c r="K216" s="37"/>
      <c r="L216" s="53">
        <f>SUM(L217:L217)</f>
        <v>0.005148</v>
      </c>
      <c r="M216" s="43"/>
      <c r="N216" s="5"/>
      <c r="AI216" s="37"/>
      <c r="AS216" s="53">
        <f>SUM(AJ217:AJ217)</f>
        <v>0</v>
      </c>
      <c r="AT216" s="53">
        <f>SUM(AK217:AK217)</f>
        <v>0</v>
      </c>
      <c r="AU216" s="53">
        <f>SUM(AL217:AL217)</f>
        <v>0</v>
      </c>
    </row>
    <row r="217" spans="1:64" ht="12.75">
      <c r="A217" s="4" t="s">
        <v>92</v>
      </c>
      <c r="B217" s="14" t="s">
        <v>215</v>
      </c>
      <c r="C217" s="244" t="s">
        <v>387</v>
      </c>
      <c r="D217" s="245"/>
      <c r="E217" s="14" t="s">
        <v>505</v>
      </c>
      <c r="F217" s="26">
        <v>25.74</v>
      </c>
      <c r="G217" s="155">
        <v>0</v>
      </c>
      <c r="H217" s="26">
        <f>F217*AO217</f>
        <v>0</v>
      </c>
      <c r="I217" s="26">
        <f>F217*AP217</f>
        <v>0</v>
      </c>
      <c r="J217" s="26">
        <f>F217*G217</f>
        <v>0</v>
      </c>
      <c r="K217" s="26">
        <v>0.0002</v>
      </c>
      <c r="L217" s="26">
        <f>F217*K217</f>
        <v>0.005148</v>
      </c>
      <c r="M217" s="41" t="s">
        <v>683</v>
      </c>
      <c r="N217" s="5"/>
      <c r="Z217" s="47">
        <f>IF(AQ217="5",BJ217,0)</f>
        <v>0</v>
      </c>
      <c r="AB217" s="47">
        <f>IF(AQ217="1",BH217,0)</f>
        <v>0</v>
      </c>
      <c r="AC217" s="47">
        <f>IF(AQ217="1",BI217,0)</f>
        <v>0</v>
      </c>
      <c r="AD217" s="47">
        <f>IF(AQ217="7",BH217,0)</f>
        <v>0</v>
      </c>
      <c r="AE217" s="47">
        <f>IF(AQ217="7",BI217,0)</f>
        <v>0</v>
      </c>
      <c r="AF217" s="47">
        <f>IF(AQ217="2",BH217,0)</f>
        <v>0</v>
      </c>
      <c r="AG217" s="47">
        <f>IF(AQ217="2",BI217,0)</f>
        <v>0</v>
      </c>
      <c r="AH217" s="47">
        <f>IF(AQ217="0",BJ217,0)</f>
        <v>0</v>
      </c>
      <c r="AI217" s="37"/>
      <c r="AJ217" s="26">
        <f>IF(AN217=0,J217,0)</f>
        <v>0</v>
      </c>
      <c r="AK217" s="26">
        <f>IF(AN217=15,J217,0)</f>
        <v>0</v>
      </c>
      <c r="AL217" s="26">
        <f>IF(AN217=21,J217,0)</f>
        <v>0</v>
      </c>
      <c r="AN217" s="47">
        <v>21</v>
      </c>
      <c r="AO217" s="47">
        <f>G217*0.566919133042243</f>
        <v>0</v>
      </c>
      <c r="AP217" s="47">
        <f>G217*(1-0.566919133042243)</f>
        <v>0</v>
      </c>
      <c r="AQ217" s="48" t="s">
        <v>13</v>
      </c>
      <c r="AV217" s="47">
        <f>AW217+AX217</f>
        <v>0</v>
      </c>
      <c r="AW217" s="47">
        <f>F217*AO217</f>
        <v>0</v>
      </c>
      <c r="AX217" s="47">
        <f>F217*AP217</f>
        <v>0</v>
      </c>
      <c r="AY217" s="50" t="s">
        <v>555</v>
      </c>
      <c r="AZ217" s="50" t="s">
        <v>569</v>
      </c>
      <c r="BA217" s="37" t="s">
        <v>571</v>
      </c>
      <c r="BC217" s="47">
        <f>AW217+AX217</f>
        <v>0</v>
      </c>
      <c r="BD217" s="47">
        <f>G217/(100-BE217)*100</f>
        <v>0</v>
      </c>
      <c r="BE217" s="47">
        <v>0</v>
      </c>
      <c r="BF217" s="47">
        <f>L217</f>
        <v>0.005148</v>
      </c>
      <c r="BH217" s="26">
        <f>F217*AO217</f>
        <v>0</v>
      </c>
      <c r="BI217" s="26">
        <f>F217*AP217</f>
        <v>0</v>
      </c>
      <c r="BJ217" s="26">
        <f>F217*G217</f>
        <v>0</v>
      </c>
      <c r="BK217" s="26" t="s">
        <v>576</v>
      </c>
      <c r="BL217" s="47">
        <v>783</v>
      </c>
    </row>
    <row r="218" spans="1:14" ht="12.75">
      <c r="A218" s="5"/>
      <c r="C218" s="18" t="s">
        <v>388</v>
      </c>
      <c r="D218" s="20" t="s">
        <v>485</v>
      </c>
      <c r="F218" s="27">
        <v>4.74</v>
      </c>
      <c r="M218" s="42"/>
      <c r="N218" s="5"/>
    </row>
    <row r="219" spans="1:14" ht="12.75">
      <c r="A219" s="5"/>
      <c r="C219" s="18" t="s">
        <v>389</v>
      </c>
      <c r="D219" s="20" t="s">
        <v>486</v>
      </c>
      <c r="F219" s="27">
        <v>21</v>
      </c>
      <c r="M219" s="42"/>
      <c r="N219" s="5"/>
    </row>
    <row r="220" spans="1:47" ht="12.75">
      <c r="A220" s="6"/>
      <c r="B220" s="15" t="s">
        <v>216</v>
      </c>
      <c r="C220" s="249" t="s">
        <v>390</v>
      </c>
      <c r="D220" s="250"/>
      <c r="E220" s="24" t="s">
        <v>6</v>
      </c>
      <c r="F220" s="24" t="s">
        <v>6</v>
      </c>
      <c r="G220" s="24" t="s">
        <v>6</v>
      </c>
      <c r="H220" s="53">
        <f>SUM(H221:H227)</f>
        <v>0</v>
      </c>
      <c r="I220" s="53">
        <f>SUM(I221:I227)</f>
        <v>0</v>
      </c>
      <c r="J220" s="53">
        <f>SUM(J221:J227)</f>
        <v>0</v>
      </c>
      <c r="K220" s="37"/>
      <c r="L220" s="53">
        <f>SUM(L221:L227)</f>
        <v>0.03903329</v>
      </c>
      <c r="M220" s="43"/>
      <c r="N220" s="5"/>
      <c r="AI220" s="37"/>
      <c r="AS220" s="53">
        <f>SUM(AJ221:AJ227)</f>
        <v>0</v>
      </c>
      <c r="AT220" s="53">
        <f>SUM(AK221:AK227)</f>
        <v>0</v>
      </c>
      <c r="AU220" s="53">
        <f>SUM(AL221:AL227)</f>
        <v>0</v>
      </c>
    </row>
    <row r="221" spans="1:64" ht="12.75">
      <c r="A221" s="4" t="s">
        <v>93</v>
      </c>
      <c r="B221" s="14" t="s">
        <v>217</v>
      </c>
      <c r="C221" s="244" t="s">
        <v>391</v>
      </c>
      <c r="D221" s="245"/>
      <c r="E221" s="14" t="s">
        <v>505</v>
      </c>
      <c r="F221" s="26">
        <v>63.989</v>
      </c>
      <c r="G221" s="155">
        <v>0</v>
      </c>
      <c r="H221" s="26">
        <f>F221*AO221</f>
        <v>0</v>
      </c>
      <c r="I221" s="26">
        <f>F221*AP221</f>
        <v>0</v>
      </c>
      <c r="J221" s="26">
        <f>F221*G221</f>
        <v>0</v>
      </c>
      <c r="K221" s="26">
        <v>0.0002</v>
      </c>
      <c r="L221" s="26">
        <f>F221*K221</f>
        <v>0.0127978</v>
      </c>
      <c r="M221" s="41" t="s">
        <v>683</v>
      </c>
      <c r="N221" s="5"/>
      <c r="Z221" s="47">
        <f>IF(AQ221="5",BJ221,0)</f>
        <v>0</v>
      </c>
      <c r="AB221" s="47">
        <f>IF(AQ221="1",BH221,0)</f>
        <v>0</v>
      </c>
      <c r="AC221" s="47">
        <f>IF(AQ221="1",BI221,0)</f>
        <v>0</v>
      </c>
      <c r="AD221" s="47">
        <f>IF(AQ221="7",BH221,0)</f>
        <v>0</v>
      </c>
      <c r="AE221" s="47">
        <f>IF(AQ221="7",BI221,0)</f>
        <v>0</v>
      </c>
      <c r="AF221" s="47">
        <f>IF(AQ221="2",BH221,0)</f>
        <v>0</v>
      </c>
      <c r="AG221" s="47">
        <f>IF(AQ221="2",BI221,0)</f>
        <v>0</v>
      </c>
      <c r="AH221" s="47">
        <f>IF(AQ221="0",BJ221,0)</f>
        <v>0</v>
      </c>
      <c r="AI221" s="37"/>
      <c r="AJ221" s="26">
        <f>IF(AN221=0,J221,0)</f>
        <v>0</v>
      </c>
      <c r="AK221" s="26">
        <f>IF(AN221=15,J221,0)</f>
        <v>0</v>
      </c>
      <c r="AL221" s="26">
        <f>IF(AN221=21,J221,0)</f>
        <v>0</v>
      </c>
      <c r="AN221" s="47">
        <v>21</v>
      </c>
      <c r="AO221" s="47">
        <f>G221*0.411221313224962</f>
        <v>0</v>
      </c>
      <c r="AP221" s="47">
        <f>G221*(1-0.411221313224962)</f>
        <v>0</v>
      </c>
      <c r="AQ221" s="48" t="s">
        <v>13</v>
      </c>
      <c r="AV221" s="47">
        <f>AW221+AX221</f>
        <v>0</v>
      </c>
      <c r="AW221" s="47">
        <f>F221*AO221</f>
        <v>0</v>
      </c>
      <c r="AX221" s="47">
        <f>F221*AP221</f>
        <v>0</v>
      </c>
      <c r="AY221" s="50" t="s">
        <v>556</v>
      </c>
      <c r="AZ221" s="50" t="s">
        <v>569</v>
      </c>
      <c r="BA221" s="37" t="s">
        <v>571</v>
      </c>
      <c r="BC221" s="47">
        <f>AW221+AX221</f>
        <v>0</v>
      </c>
      <c r="BD221" s="47">
        <f>G221/(100-BE221)*100</f>
        <v>0</v>
      </c>
      <c r="BE221" s="47">
        <v>0</v>
      </c>
      <c r="BF221" s="47">
        <f>L221</f>
        <v>0.0127978</v>
      </c>
      <c r="BH221" s="26">
        <f>F221*AO221</f>
        <v>0</v>
      </c>
      <c r="BI221" s="26">
        <f>F221*AP221</f>
        <v>0</v>
      </c>
      <c r="BJ221" s="26">
        <f>F221*G221</f>
        <v>0</v>
      </c>
      <c r="BK221" s="26" t="s">
        <v>576</v>
      </c>
      <c r="BL221" s="47">
        <v>784</v>
      </c>
    </row>
    <row r="222" spans="1:14" ht="12.75">
      <c r="A222" s="5"/>
      <c r="C222" s="18" t="s">
        <v>392</v>
      </c>
      <c r="D222" s="20" t="s">
        <v>487</v>
      </c>
      <c r="F222" s="27">
        <v>63.989</v>
      </c>
      <c r="M222" s="42"/>
      <c r="N222" s="5"/>
    </row>
    <row r="223" spans="1:64" ht="12.75">
      <c r="A223" s="4" t="s">
        <v>94</v>
      </c>
      <c r="B223" s="14" t="s">
        <v>218</v>
      </c>
      <c r="C223" s="244" t="s">
        <v>393</v>
      </c>
      <c r="D223" s="245"/>
      <c r="E223" s="14" t="s">
        <v>505</v>
      </c>
      <c r="F223" s="26">
        <v>63.989</v>
      </c>
      <c r="G223" s="155">
        <v>0</v>
      </c>
      <c r="H223" s="26">
        <f>F223*AO223</f>
        <v>0</v>
      </c>
      <c r="I223" s="26">
        <f>F223*AP223</f>
        <v>0</v>
      </c>
      <c r="J223" s="26">
        <f>F223*G223</f>
        <v>0</v>
      </c>
      <c r="K223" s="26">
        <v>0.00041</v>
      </c>
      <c r="L223" s="26">
        <f>F223*K223</f>
        <v>0.026235489999999997</v>
      </c>
      <c r="M223" s="41" t="s">
        <v>683</v>
      </c>
      <c r="N223" s="5"/>
      <c r="Z223" s="47">
        <f>IF(AQ223="5",BJ223,0)</f>
        <v>0</v>
      </c>
      <c r="AB223" s="47">
        <f>IF(AQ223="1",BH223,0)</f>
        <v>0</v>
      </c>
      <c r="AC223" s="47">
        <f>IF(AQ223="1",BI223,0)</f>
        <v>0</v>
      </c>
      <c r="AD223" s="47">
        <f>IF(AQ223="7",BH223,0)</f>
        <v>0</v>
      </c>
      <c r="AE223" s="47">
        <f>IF(AQ223="7",BI223,0)</f>
        <v>0</v>
      </c>
      <c r="AF223" s="47">
        <f>IF(AQ223="2",BH223,0)</f>
        <v>0</v>
      </c>
      <c r="AG223" s="47">
        <f>IF(AQ223="2",BI223,0)</f>
        <v>0</v>
      </c>
      <c r="AH223" s="47">
        <f>IF(AQ223="0",BJ223,0)</f>
        <v>0</v>
      </c>
      <c r="AI223" s="37"/>
      <c r="AJ223" s="26">
        <f>IF(AN223=0,J223,0)</f>
        <v>0</v>
      </c>
      <c r="AK223" s="26">
        <f>IF(AN223=15,J223,0)</f>
        <v>0</v>
      </c>
      <c r="AL223" s="26">
        <f>IF(AN223=21,J223,0)</f>
        <v>0</v>
      </c>
      <c r="AN223" s="47">
        <v>21</v>
      </c>
      <c r="AO223" s="47">
        <f>G223*0.149800343351467</f>
        <v>0</v>
      </c>
      <c r="AP223" s="47">
        <f>G223*(1-0.149800343351467)</f>
        <v>0</v>
      </c>
      <c r="AQ223" s="48" t="s">
        <v>13</v>
      </c>
      <c r="AV223" s="47">
        <f>AW223+AX223</f>
        <v>0</v>
      </c>
      <c r="AW223" s="47">
        <f>F223*AO223</f>
        <v>0</v>
      </c>
      <c r="AX223" s="47">
        <f>F223*AP223</f>
        <v>0</v>
      </c>
      <c r="AY223" s="50" t="s">
        <v>556</v>
      </c>
      <c r="AZ223" s="50" t="s">
        <v>569</v>
      </c>
      <c r="BA223" s="37" t="s">
        <v>571</v>
      </c>
      <c r="BC223" s="47">
        <f>AW223+AX223</f>
        <v>0</v>
      </c>
      <c r="BD223" s="47">
        <f>G223/(100-BE223)*100</f>
        <v>0</v>
      </c>
      <c r="BE223" s="47">
        <v>0</v>
      </c>
      <c r="BF223" s="47">
        <f>L223</f>
        <v>0.026235489999999997</v>
      </c>
      <c r="BH223" s="26">
        <f>F223*AO223</f>
        <v>0</v>
      </c>
      <c r="BI223" s="26">
        <f>F223*AP223</f>
        <v>0</v>
      </c>
      <c r="BJ223" s="26">
        <f>F223*G223</f>
        <v>0</v>
      </c>
      <c r="BK223" s="26" t="s">
        <v>576</v>
      </c>
      <c r="BL223" s="47">
        <v>784</v>
      </c>
    </row>
    <row r="224" spans="1:14" ht="12.75">
      <c r="A224" s="5"/>
      <c r="C224" s="18" t="s">
        <v>261</v>
      </c>
      <c r="D224" s="20" t="s">
        <v>443</v>
      </c>
      <c r="F224" s="27">
        <v>21.12</v>
      </c>
      <c r="M224" s="42"/>
      <c r="N224" s="5"/>
    </row>
    <row r="225" spans="1:14" ht="12.75">
      <c r="A225" s="5"/>
      <c r="C225" s="18" t="s">
        <v>262</v>
      </c>
      <c r="D225" s="20" t="s">
        <v>444</v>
      </c>
      <c r="F225" s="27">
        <v>21.528</v>
      </c>
      <c r="M225" s="42"/>
      <c r="N225" s="5"/>
    </row>
    <row r="226" spans="1:14" ht="12.75">
      <c r="A226" s="5"/>
      <c r="C226" s="18" t="s">
        <v>394</v>
      </c>
      <c r="D226" s="20" t="s">
        <v>488</v>
      </c>
      <c r="F226" s="27">
        <v>21.341</v>
      </c>
      <c r="M226" s="42"/>
      <c r="N226" s="5"/>
    </row>
    <row r="227" spans="1:64" ht="12.75">
      <c r="A227" s="4" t="s">
        <v>95</v>
      </c>
      <c r="B227" s="14" t="s">
        <v>219</v>
      </c>
      <c r="C227" s="244" t="s">
        <v>395</v>
      </c>
      <c r="D227" s="245"/>
      <c r="E227" s="14" t="s">
        <v>505</v>
      </c>
      <c r="F227" s="26">
        <v>63.989</v>
      </c>
      <c r="G227" s="155">
        <v>0</v>
      </c>
      <c r="H227" s="26">
        <f>F227*AO227</f>
        <v>0</v>
      </c>
      <c r="I227" s="26">
        <f>F227*AP227</f>
        <v>0</v>
      </c>
      <c r="J227" s="26">
        <f>F227*G227</f>
        <v>0</v>
      </c>
      <c r="K227" s="26">
        <v>0</v>
      </c>
      <c r="L227" s="26">
        <f>F227*K227</f>
        <v>0</v>
      </c>
      <c r="M227" s="41" t="s">
        <v>683</v>
      </c>
      <c r="N227" s="5"/>
      <c r="Z227" s="47">
        <f>IF(AQ227="5",BJ227,0)</f>
        <v>0</v>
      </c>
      <c r="AB227" s="47">
        <f>IF(AQ227="1",BH227,0)</f>
        <v>0</v>
      </c>
      <c r="AC227" s="47">
        <f>IF(AQ227="1",BI227,0)</f>
        <v>0</v>
      </c>
      <c r="AD227" s="47">
        <f>IF(AQ227="7",BH227,0)</f>
        <v>0</v>
      </c>
      <c r="AE227" s="47">
        <f>IF(AQ227="7",BI227,0)</f>
        <v>0</v>
      </c>
      <c r="AF227" s="47">
        <f>IF(AQ227="2",BH227,0)</f>
        <v>0</v>
      </c>
      <c r="AG227" s="47">
        <f>IF(AQ227="2",BI227,0)</f>
        <v>0</v>
      </c>
      <c r="AH227" s="47">
        <f>IF(AQ227="0",BJ227,0)</f>
        <v>0</v>
      </c>
      <c r="AI227" s="37"/>
      <c r="AJ227" s="26">
        <f>IF(AN227=0,J227,0)</f>
        <v>0</v>
      </c>
      <c r="AK227" s="26">
        <f>IF(AN227=15,J227,0)</f>
        <v>0</v>
      </c>
      <c r="AL227" s="26">
        <f>IF(AN227=21,J227,0)</f>
        <v>0</v>
      </c>
      <c r="AN227" s="47">
        <v>21</v>
      </c>
      <c r="AO227" s="47">
        <f>G227*0.00271083992821629</f>
        <v>0</v>
      </c>
      <c r="AP227" s="47">
        <f>G227*(1-0.00271083992821629)</f>
        <v>0</v>
      </c>
      <c r="AQ227" s="48" t="s">
        <v>13</v>
      </c>
      <c r="AV227" s="47">
        <f>AW227+AX227</f>
        <v>0</v>
      </c>
      <c r="AW227" s="47">
        <f>F227*AO227</f>
        <v>0</v>
      </c>
      <c r="AX227" s="47">
        <f>F227*AP227</f>
        <v>0</v>
      </c>
      <c r="AY227" s="50" t="s">
        <v>556</v>
      </c>
      <c r="AZ227" s="50" t="s">
        <v>569</v>
      </c>
      <c r="BA227" s="37" t="s">
        <v>571</v>
      </c>
      <c r="BC227" s="47">
        <f>AW227+AX227</f>
        <v>0</v>
      </c>
      <c r="BD227" s="47">
        <f>G227/(100-BE227)*100</f>
        <v>0</v>
      </c>
      <c r="BE227" s="47">
        <v>0</v>
      </c>
      <c r="BF227" s="47">
        <f>L227</f>
        <v>0</v>
      </c>
      <c r="BH227" s="26">
        <f>F227*AO227</f>
        <v>0</v>
      </c>
      <c r="BI227" s="26">
        <f>F227*AP227</f>
        <v>0</v>
      </c>
      <c r="BJ227" s="26">
        <f>F227*G227</f>
        <v>0</v>
      </c>
      <c r="BK227" s="26" t="s">
        <v>576</v>
      </c>
      <c r="BL227" s="47">
        <v>784</v>
      </c>
    </row>
    <row r="228" spans="1:14" ht="12.75">
      <c r="A228" s="5"/>
      <c r="C228" s="18" t="s">
        <v>392</v>
      </c>
      <c r="D228" s="20" t="s">
        <v>487</v>
      </c>
      <c r="F228" s="27">
        <v>63.989</v>
      </c>
      <c r="M228" s="42"/>
      <c r="N228" s="5"/>
    </row>
    <row r="229" spans="1:47" ht="12.75">
      <c r="A229" s="6"/>
      <c r="B229" s="15" t="s">
        <v>100</v>
      </c>
      <c r="C229" s="249" t="s">
        <v>396</v>
      </c>
      <c r="D229" s="250"/>
      <c r="E229" s="24" t="s">
        <v>6</v>
      </c>
      <c r="F229" s="24" t="s">
        <v>6</v>
      </c>
      <c r="G229" s="24" t="s">
        <v>6</v>
      </c>
      <c r="H229" s="53">
        <f>SUM(H230:H230)</f>
        <v>0</v>
      </c>
      <c r="I229" s="53">
        <f>SUM(I230:I230)</f>
        <v>0</v>
      </c>
      <c r="J229" s="53">
        <f>SUM(J230:J230)</f>
        <v>0</v>
      </c>
      <c r="K229" s="37"/>
      <c r="L229" s="53">
        <f>SUM(L230:L230)</f>
        <v>0.1276944</v>
      </c>
      <c r="M229" s="43"/>
      <c r="N229" s="5"/>
      <c r="AI229" s="37"/>
      <c r="AS229" s="53">
        <f>SUM(AJ230:AJ230)</f>
        <v>0</v>
      </c>
      <c r="AT229" s="53">
        <f>SUM(AK230:AK230)</f>
        <v>0</v>
      </c>
      <c r="AU229" s="53">
        <f>SUM(AL230:AL230)</f>
        <v>0</v>
      </c>
    </row>
    <row r="230" spans="1:64" ht="12.75">
      <c r="A230" s="4" t="s">
        <v>96</v>
      </c>
      <c r="B230" s="14" t="s">
        <v>220</v>
      </c>
      <c r="C230" s="244" t="s">
        <v>397</v>
      </c>
      <c r="D230" s="245"/>
      <c r="E230" s="14" t="s">
        <v>505</v>
      </c>
      <c r="F230" s="26">
        <v>21.57</v>
      </c>
      <c r="G230" s="155">
        <v>0</v>
      </c>
      <c r="H230" s="26">
        <f>F230*AO230</f>
        <v>0</v>
      </c>
      <c r="I230" s="26">
        <f>F230*AP230</f>
        <v>0</v>
      </c>
      <c r="J230" s="26">
        <f>F230*G230</f>
        <v>0</v>
      </c>
      <c r="K230" s="26">
        <v>0.00592</v>
      </c>
      <c r="L230" s="26">
        <f>F230*K230</f>
        <v>0.1276944</v>
      </c>
      <c r="M230" s="41" t="s">
        <v>683</v>
      </c>
      <c r="N230" s="5"/>
      <c r="Z230" s="47">
        <f>IF(AQ230="5",BJ230,0)</f>
        <v>0</v>
      </c>
      <c r="AB230" s="47">
        <f>IF(AQ230="1",BH230,0)</f>
        <v>0</v>
      </c>
      <c r="AC230" s="47">
        <f>IF(AQ230="1",BI230,0)</f>
        <v>0</v>
      </c>
      <c r="AD230" s="47">
        <f>IF(AQ230="7",BH230,0)</f>
        <v>0</v>
      </c>
      <c r="AE230" s="47">
        <f>IF(AQ230="7",BI230,0)</f>
        <v>0</v>
      </c>
      <c r="AF230" s="47">
        <f>IF(AQ230="2",BH230,0)</f>
        <v>0</v>
      </c>
      <c r="AG230" s="47">
        <f>IF(AQ230="2",BI230,0)</f>
        <v>0</v>
      </c>
      <c r="AH230" s="47">
        <f>IF(AQ230="0",BJ230,0)</f>
        <v>0</v>
      </c>
      <c r="AI230" s="37"/>
      <c r="AJ230" s="26">
        <f>IF(AN230=0,J230,0)</f>
        <v>0</v>
      </c>
      <c r="AK230" s="26">
        <f>IF(AN230=15,J230,0)</f>
        <v>0</v>
      </c>
      <c r="AL230" s="26">
        <f>IF(AN230=21,J230,0)</f>
        <v>0</v>
      </c>
      <c r="AN230" s="47">
        <v>21</v>
      </c>
      <c r="AO230" s="47">
        <f>G230*0.421747955207827</f>
        <v>0</v>
      </c>
      <c r="AP230" s="47">
        <f>G230*(1-0.421747955207827)</f>
        <v>0</v>
      </c>
      <c r="AQ230" s="48" t="s">
        <v>7</v>
      </c>
      <c r="AV230" s="47">
        <f>AW230+AX230</f>
        <v>0</v>
      </c>
      <c r="AW230" s="47">
        <f>F230*AO230</f>
        <v>0</v>
      </c>
      <c r="AX230" s="47">
        <f>F230*AP230</f>
        <v>0</v>
      </c>
      <c r="AY230" s="50" t="s">
        <v>557</v>
      </c>
      <c r="AZ230" s="50" t="s">
        <v>570</v>
      </c>
      <c r="BA230" s="37" t="s">
        <v>571</v>
      </c>
      <c r="BC230" s="47">
        <f>AW230+AX230</f>
        <v>0</v>
      </c>
      <c r="BD230" s="47">
        <f>G230/(100-BE230)*100</f>
        <v>0</v>
      </c>
      <c r="BE230" s="47">
        <v>0</v>
      </c>
      <c r="BF230" s="47">
        <f>L230</f>
        <v>0.1276944</v>
      </c>
      <c r="BH230" s="26">
        <f>F230*AO230</f>
        <v>0</v>
      </c>
      <c r="BI230" s="26">
        <f>F230*AP230</f>
        <v>0</v>
      </c>
      <c r="BJ230" s="26">
        <f>F230*G230</f>
        <v>0</v>
      </c>
      <c r="BK230" s="26" t="s">
        <v>576</v>
      </c>
      <c r="BL230" s="47">
        <v>94</v>
      </c>
    </row>
    <row r="231" spans="1:14" ht="12.75">
      <c r="A231" s="5"/>
      <c r="C231" s="18" t="s">
        <v>265</v>
      </c>
      <c r="D231" s="20" t="s">
        <v>445</v>
      </c>
      <c r="F231" s="27">
        <v>21.57</v>
      </c>
      <c r="M231" s="42"/>
      <c r="N231" s="5"/>
    </row>
    <row r="232" spans="1:47" ht="12.75">
      <c r="A232" s="6"/>
      <c r="B232" s="15" t="s">
        <v>101</v>
      </c>
      <c r="C232" s="249" t="s">
        <v>398</v>
      </c>
      <c r="D232" s="250"/>
      <c r="E232" s="24" t="s">
        <v>6</v>
      </c>
      <c r="F232" s="24" t="s">
        <v>6</v>
      </c>
      <c r="G232" s="24" t="s">
        <v>6</v>
      </c>
      <c r="H232" s="53">
        <f>SUM(H233:H239)</f>
        <v>0</v>
      </c>
      <c r="I232" s="53">
        <f>SUM(I233:I239)</f>
        <v>0</v>
      </c>
      <c r="J232" s="53">
        <f>SUM(J233:J239)</f>
        <v>0</v>
      </c>
      <c r="K232" s="37"/>
      <c r="L232" s="53">
        <f>SUM(L233:L239)</f>
        <v>0.0112628</v>
      </c>
      <c r="M232" s="43"/>
      <c r="N232" s="5"/>
      <c r="AI232" s="37"/>
      <c r="AS232" s="53">
        <f>SUM(AJ233:AJ239)</f>
        <v>0</v>
      </c>
      <c r="AT232" s="53">
        <f>SUM(AK233:AK239)</f>
        <v>0</v>
      </c>
      <c r="AU232" s="53">
        <f>SUM(AL233:AL239)</f>
        <v>0</v>
      </c>
    </row>
    <row r="233" spans="1:64" ht="12.75">
      <c r="A233" s="4" t="s">
        <v>97</v>
      </c>
      <c r="B233" s="14" t="s">
        <v>221</v>
      </c>
      <c r="C233" s="244" t="s">
        <v>399</v>
      </c>
      <c r="D233" s="245"/>
      <c r="E233" s="14" t="s">
        <v>505</v>
      </c>
      <c r="F233" s="26">
        <v>31.57</v>
      </c>
      <c r="G233" s="155">
        <v>0</v>
      </c>
      <c r="H233" s="26">
        <f>F233*AO233</f>
        <v>0</v>
      </c>
      <c r="I233" s="26">
        <f>F233*AP233</f>
        <v>0</v>
      </c>
      <c r="J233" s="26">
        <f>F233*G233</f>
        <v>0</v>
      </c>
      <c r="K233" s="26">
        <v>4E-05</v>
      </c>
      <c r="L233" s="26">
        <f>F233*K233</f>
        <v>0.0012628000000000001</v>
      </c>
      <c r="M233" s="41" t="s">
        <v>683</v>
      </c>
      <c r="N233" s="5"/>
      <c r="Z233" s="47">
        <f>IF(AQ233="5",BJ233,0)</f>
        <v>0</v>
      </c>
      <c r="AB233" s="47">
        <f>IF(AQ233="1",BH233,0)</f>
        <v>0</v>
      </c>
      <c r="AC233" s="47">
        <f>IF(AQ233="1",BI233,0)</f>
        <v>0</v>
      </c>
      <c r="AD233" s="47">
        <f>IF(AQ233="7",BH233,0)</f>
        <v>0</v>
      </c>
      <c r="AE233" s="47">
        <f>IF(AQ233="7",BI233,0)</f>
        <v>0</v>
      </c>
      <c r="AF233" s="47">
        <f>IF(AQ233="2",BH233,0)</f>
        <v>0</v>
      </c>
      <c r="AG233" s="47">
        <f>IF(AQ233="2",BI233,0)</f>
        <v>0</v>
      </c>
      <c r="AH233" s="47">
        <f>IF(AQ233="0",BJ233,0)</f>
        <v>0</v>
      </c>
      <c r="AI233" s="37"/>
      <c r="AJ233" s="26">
        <f>IF(AN233=0,J233,0)</f>
        <v>0</v>
      </c>
      <c r="AK233" s="26">
        <f>IF(AN233=15,J233,0)</f>
        <v>0</v>
      </c>
      <c r="AL233" s="26">
        <f>IF(AN233=21,J233,0)</f>
        <v>0</v>
      </c>
      <c r="AN233" s="47">
        <v>21</v>
      </c>
      <c r="AO233" s="47">
        <f>G233*0.0121508848966189</f>
        <v>0</v>
      </c>
      <c r="AP233" s="47">
        <f>G233*(1-0.0121508848966189)</f>
        <v>0</v>
      </c>
      <c r="AQ233" s="48" t="s">
        <v>7</v>
      </c>
      <c r="AV233" s="47">
        <f>AW233+AX233</f>
        <v>0</v>
      </c>
      <c r="AW233" s="47">
        <f>F233*AO233</f>
        <v>0</v>
      </c>
      <c r="AX233" s="47">
        <f>F233*AP233</f>
        <v>0</v>
      </c>
      <c r="AY233" s="50" t="s">
        <v>558</v>
      </c>
      <c r="AZ233" s="50" t="s">
        <v>570</v>
      </c>
      <c r="BA233" s="37" t="s">
        <v>571</v>
      </c>
      <c r="BC233" s="47">
        <f>AW233+AX233</f>
        <v>0</v>
      </c>
      <c r="BD233" s="47">
        <f>G233/(100-BE233)*100</f>
        <v>0</v>
      </c>
      <c r="BE233" s="47">
        <v>0</v>
      </c>
      <c r="BF233" s="47">
        <f>L233</f>
        <v>0.0012628000000000001</v>
      </c>
      <c r="BH233" s="26">
        <f>F233*AO233</f>
        <v>0</v>
      </c>
      <c r="BI233" s="26">
        <f>F233*AP233</f>
        <v>0</v>
      </c>
      <c r="BJ233" s="26">
        <f>F233*G233</f>
        <v>0</v>
      </c>
      <c r="BK233" s="26" t="s">
        <v>576</v>
      </c>
      <c r="BL233" s="47">
        <v>95</v>
      </c>
    </row>
    <row r="234" spans="1:14" ht="12.75">
      <c r="A234" s="5"/>
      <c r="C234" s="18" t="s">
        <v>400</v>
      </c>
      <c r="D234" s="20" t="s">
        <v>445</v>
      </c>
      <c r="F234" s="27">
        <v>31.57</v>
      </c>
      <c r="M234" s="42"/>
      <c r="N234" s="5"/>
    </row>
    <row r="235" spans="1:64" ht="12.75">
      <c r="A235" s="4" t="s">
        <v>98</v>
      </c>
      <c r="B235" s="14" t="s">
        <v>222</v>
      </c>
      <c r="C235" s="244" t="s">
        <v>401</v>
      </c>
      <c r="D235" s="245"/>
      <c r="E235" s="14" t="s">
        <v>506</v>
      </c>
      <c r="F235" s="26">
        <v>20</v>
      </c>
      <c r="G235" s="155">
        <v>0</v>
      </c>
      <c r="H235" s="26">
        <f>F235*AO235</f>
        <v>0</v>
      </c>
      <c r="I235" s="26">
        <f>F235*AP235</f>
        <v>0</v>
      </c>
      <c r="J235" s="26">
        <f>F235*G235</f>
        <v>0</v>
      </c>
      <c r="K235" s="26">
        <v>0</v>
      </c>
      <c r="L235" s="26">
        <f>F235*K235</f>
        <v>0</v>
      </c>
      <c r="M235" s="41" t="s">
        <v>683</v>
      </c>
      <c r="N235" s="5"/>
      <c r="Z235" s="47">
        <f>IF(AQ235="5",BJ235,0)</f>
        <v>0</v>
      </c>
      <c r="AB235" s="47">
        <f>IF(AQ235="1",BH235,0)</f>
        <v>0</v>
      </c>
      <c r="AC235" s="47">
        <f>IF(AQ235="1",BI235,0)</f>
        <v>0</v>
      </c>
      <c r="AD235" s="47">
        <f>IF(AQ235="7",BH235,0)</f>
        <v>0</v>
      </c>
      <c r="AE235" s="47">
        <f>IF(AQ235="7",BI235,0)</f>
        <v>0</v>
      </c>
      <c r="AF235" s="47">
        <f>IF(AQ235="2",BH235,0)</f>
        <v>0</v>
      </c>
      <c r="AG235" s="47">
        <f>IF(AQ235="2",BI235,0)</f>
        <v>0</v>
      </c>
      <c r="AH235" s="47">
        <f>IF(AQ235="0",BJ235,0)</f>
        <v>0</v>
      </c>
      <c r="AI235" s="37"/>
      <c r="AJ235" s="26">
        <f>IF(AN235=0,J235,0)</f>
        <v>0</v>
      </c>
      <c r="AK235" s="26">
        <f>IF(AN235=15,J235,0)</f>
        <v>0</v>
      </c>
      <c r="AL235" s="26">
        <f>IF(AN235=21,J235,0)</f>
        <v>0</v>
      </c>
      <c r="AN235" s="47">
        <v>21</v>
      </c>
      <c r="AO235" s="47">
        <f>G235*0.46010989010989</f>
        <v>0</v>
      </c>
      <c r="AP235" s="47">
        <f>G235*(1-0.46010989010989)</f>
        <v>0</v>
      </c>
      <c r="AQ235" s="48" t="s">
        <v>7</v>
      </c>
      <c r="AV235" s="47">
        <f>AW235+AX235</f>
        <v>0</v>
      </c>
      <c r="AW235" s="47">
        <f>F235*AO235</f>
        <v>0</v>
      </c>
      <c r="AX235" s="47">
        <f>F235*AP235</f>
        <v>0</v>
      </c>
      <c r="AY235" s="50" t="s">
        <v>558</v>
      </c>
      <c r="AZ235" s="50" t="s">
        <v>570</v>
      </c>
      <c r="BA235" s="37" t="s">
        <v>571</v>
      </c>
      <c r="BC235" s="47">
        <f>AW235+AX235</f>
        <v>0</v>
      </c>
      <c r="BD235" s="47">
        <f>G235/(100-BE235)*100</f>
        <v>0</v>
      </c>
      <c r="BE235" s="47">
        <v>0</v>
      </c>
      <c r="BF235" s="47">
        <f>L235</f>
        <v>0</v>
      </c>
      <c r="BH235" s="26">
        <f>F235*AO235</f>
        <v>0</v>
      </c>
      <c r="BI235" s="26">
        <f>F235*AP235</f>
        <v>0</v>
      </c>
      <c r="BJ235" s="26">
        <f>F235*G235</f>
        <v>0</v>
      </c>
      <c r="BK235" s="26" t="s">
        <v>576</v>
      </c>
      <c r="BL235" s="47">
        <v>95</v>
      </c>
    </row>
    <row r="236" spans="1:14" ht="12.75">
      <c r="A236" s="5"/>
      <c r="C236" s="18" t="s">
        <v>26</v>
      </c>
      <c r="D236" s="20" t="s">
        <v>489</v>
      </c>
      <c r="F236" s="27">
        <v>20</v>
      </c>
      <c r="M236" s="42"/>
      <c r="N236" s="5"/>
    </row>
    <row r="237" spans="1:64" ht="12.75">
      <c r="A237" s="7" t="s">
        <v>99</v>
      </c>
      <c r="B237" s="16" t="s">
        <v>223</v>
      </c>
      <c r="C237" s="247" t="s">
        <v>402</v>
      </c>
      <c r="D237" s="248"/>
      <c r="E237" s="16" t="s">
        <v>510</v>
      </c>
      <c r="F237" s="28">
        <v>5</v>
      </c>
      <c r="G237" s="156">
        <v>0</v>
      </c>
      <c r="H237" s="28">
        <f>F237*AO237</f>
        <v>0</v>
      </c>
      <c r="I237" s="28">
        <f>F237*AP237</f>
        <v>0</v>
      </c>
      <c r="J237" s="28">
        <f>F237*G237</f>
        <v>0</v>
      </c>
      <c r="K237" s="28">
        <v>0.002</v>
      </c>
      <c r="L237" s="28">
        <f>F237*K237</f>
        <v>0.01</v>
      </c>
      <c r="M237" s="44"/>
      <c r="N237" s="5"/>
      <c r="Z237" s="47">
        <f>IF(AQ237="5",BJ237,0)</f>
        <v>0</v>
      </c>
      <c r="AB237" s="47">
        <f>IF(AQ237="1",BH237,0)</f>
        <v>0</v>
      </c>
      <c r="AC237" s="47">
        <f>IF(AQ237="1",BI237,0)</f>
        <v>0</v>
      </c>
      <c r="AD237" s="47">
        <f>IF(AQ237="7",BH237,0)</f>
        <v>0</v>
      </c>
      <c r="AE237" s="47">
        <f>IF(AQ237="7",BI237,0)</f>
        <v>0</v>
      </c>
      <c r="AF237" s="47">
        <f>IF(AQ237="2",BH237,0)</f>
        <v>0</v>
      </c>
      <c r="AG237" s="47">
        <f>IF(AQ237="2",BI237,0)</f>
        <v>0</v>
      </c>
      <c r="AH237" s="47">
        <f>IF(AQ237="0",BJ237,0)</f>
        <v>0</v>
      </c>
      <c r="AI237" s="37"/>
      <c r="AJ237" s="28">
        <f>IF(AN237=0,J237,0)</f>
        <v>0</v>
      </c>
      <c r="AK237" s="28">
        <f>IF(AN237=15,J237,0)</f>
        <v>0</v>
      </c>
      <c r="AL237" s="28">
        <f>IF(AN237=21,J237,0)</f>
        <v>0</v>
      </c>
      <c r="AN237" s="47">
        <v>21</v>
      </c>
      <c r="AO237" s="47">
        <f>G237*1</f>
        <v>0</v>
      </c>
      <c r="AP237" s="47">
        <f>G237*(1-1)</f>
        <v>0</v>
      </c>
      <c r="AQ237" s="49" t="s">
        <v>7</v>
      </c>
      <c r="AV237" s="47">
        <f>AW237+AX237</f>
        <v>0</v>
      </c>
      <c r="AW237" s="47">
        <f>F237*AO237</f>
        <v>0</v>
      </c>
      <c r="AX237" s="47">
        <f>F237*AP237</f>
        <v>0</v>
      </c>
      <c r="AY237" s="50" t="s">
        <v>558</v>
      </c>
      <c r="AZ237" s="50" t="s">
        <v>570</v>
      </c>
      <c r="BA237" s="37" t="s">
        <v>571</v>
      </c>
      <c r="BC237" s="47">
        <f>AW237+AX237</f>
        <v>0</v>
      </c>
      <c r="BD237" s="47">
        <f>G237/(100-BE237)*100</f>
        <v>0</v>
      </c>
      <c r="BE237" s="47">
        <v>0</v>
      </c>
      <c r="BF237" s="47">
        <f>L237</f>
        <v>0.01</v>
      </c>
      <c r="BH237" s="28">
        <f>F237*AO237</f>
        <v>0</v>
      </c>
      <c r="BI237" s="28">
        <f>F237*AP237</f>
        <v>0</v>
      </c>
      <c r="BJ237" s="28">
        <f>F237*G237</f>
        <v>0</v>
      </c>
      <c r="BK237" s="28" t="s">
        <v>577</v>
      </c>
      <c r="BL237" s="47">
        <v>95</v>
      </c>
    </row>
    <row r="238" spans="1:14" ht="12.75">
      <c r="A238" s="5"/>
      <c r="C238" s="18" t="s">
        <v>11</v>
      </c>
      <c r="D238" s="20" t="s">
        <v>443</v>
      </c>
      <c r="F238" s="27">
        <v>5</v>
      </c>
      <c r="M238" s="42"/>
      <c r="N238" s="5"/>
    </row>
    <row r="239" spans="1:64" ht="12.75">
      <c r="A239" s="7" t="s">
        <v>100</v>
      </c>
      <c r="B239" s="16" t="s">
        <v>224</v>
      </c>
      <c r="C239" s="247" t="s">
        <v>403</v>
      </c>
      <c r="D239" s="248"/>
      <c r="E239" s="16" t="s">
        <v>510</v>
      </c>
      <c r="F239" s="28">
        <v>2</v>
      </c>
      <c r="G239" s="156">
        <v>0</v>
      </c>
      <c r="H239" s="28">
        <f>F239*AO239</f>
        <v>0</v>
      </c>
      <c r="I239" s="28">
        <f>F239*AP239</f>
        <v>0</v>
      </c>
      <c r="J239" s="28">
        <f>F239*G239</f>
        <v>0</v>
      </c>
      <c r="K239" s="28">
        <v>0</v>
      </c>
      <c r="L239" s="28">
        <f>F239*K239</f>
        <v>0</v>
      </c>
      <c r="M239" s="44"/>
      <c r="N239" s="5"/>
      <c r="Z239" s="47">
        <f>IF(AQ239="5",BJ239,0)</f>
        <v>0</v>
      </c>
      <c r="AB239" s="47">
        <f>IF(AQ239="1",BH239,0)</f>
        <v>0</v>
      </c>
      <c r="AC239" s="47">
        <f>IF(AQ239="1",BI239,0)</f>
        <v>0</v>
      </c>
      <c r="AD239" s="47">
        <f>IF(AQ239="7",BH239,0)</f>
        <v>0</v>
      </c>
      <c r="AE239" s="47">
        <f>IF(AQ239="7",BI239,0)</f>
        <v>0</v>
      </c>
      <c r="AF239" s="47">
        <f>IF(AQ239="2",BH239,0)</f>
        <v>0</v>
      </c>
      <c r="AG239" s="47">
        <f>IF(AQ239="2",BI239,0)</f>
        <v>0</v>
      </c>
      <c r="AH239" s="47">
        <f>IF(AQ239="0",BJ239,0)</f>
        <v>0</v>
      </c>
      <c r="AI239" s="37"/>
      <c r="AJ239" s="28">
        <f>IF(AN239=0,J239,0)</f>
        <v>0</v>
      </c>
      <c r="AK239" s="28">
        <f>IF(AN239=15,J239,0)</f>
        <v>0</v>
      </c>
      <c r="AL239" s="28">
        <f>IF(AN239=21,J239,0)</f>
        <v>0</v>
      </c>
      <c r="AN239" s="47">
        <v>21</v>
      </c>
      <c r="AO239" s="47">
        <f>G239*1</f>
        <v>0</v>
      </c>
      <c r="AP239" s="47">
        <f>G239*(1-1)</f>
        <v>0</v>
      </c>
      <c r="AQ239" s="49" t="s">
        <v>7</v>
      </c>
      <c r="AV239" s="47">
        <f>AW239+AX239</f>
        <v>0</v>
      </c>
      <c r="AW239" s="47">
        <f>F239*AO239</f>
        <v>0</v>
      </c>
      <c r="AX239" s="47">
        <f>F239*AP239</f>
        <v>0</v>
      </c>
      <c r="AY239" s="50" t="s">
        <v>558</v>
      </c>
      <c r="AZ239" s="50" t="s">
        <v>570</v>
      </c>
      <c r="BA239" s="37" t="s">
        <v>571</v>
      </c>
      <c r="BC239" s="47">
        <f>AW239+AX239</f>
        <v>0</v>
      </c>
      <c r="BD239" s="47">
        <f>G239/(100-BE239)*100</f>
        <v>0</v>
      </c>
      <c r="BE239" s="47">
        <v>0</v>
      </c>
      <c r="BF239" s="47">
        <f>L239</f>
        <v>0</v>
      </c>
      <c r="BH239" s="28">
        <f>F239*AO239</f>
        <v>0</v>
      </c>
      <c r="BI239" s="28">
        <f>F239*AP239</f>
        <v>0</v>
      </c>
      <c r="BJ239" s="28">
        <f>F239*G239</f>
        <v>0</v>
      </c>
      <c r="BK239" s="28" t="s">
        <v>577</v>
      </c>
      <c r="BL239" s="47">
        <v>95</v>
      </c>
    </row>
    <row r="240" spans="1:47" ht="12.75">
      <c r="A240" s="6"/>
      <c r="B240" s="15" t="s">
        <v>102</v>
      </c>
      <c r="C240" s="249" t="s">
        <v>404</v>
      </c>
      <c r="D240" s="250"/>
      <c r="E240" s="24" t="s">
        <v>6</v>
      </c>
      <c r="F240" s="24" t="s">
        <v>6</v>
      </c>
      <c r="G240" s="24" t="s">
        <v>6</v>
      </c>
      <c r="H240" s="53">
        <f>SUM(H241:H252)</f>
        <v>0</v>
      </c>
      <c r="I240" s="53">
        <f>SUM(I241:I252)</f>
        <v>0</v>
      </c>
      <c r="J240" s="53">
        <f>SUM(J241:J252)</f>
        <v>0</v>
      </c>
      <c r="K240" s="37"/>
      <c r="L240" s="53">
        <f>SUM(L241:L252)</f>
        <v>6.719156687500001</v>
      </c>
      <c r="M240" s="43"/>
      <c r="N240" s="5"/>
      <c r="AI240" s="37"/>
      <c r="AS240" s="53">
        <f>SUM(AJ241:AJ252)</f>
        <v>0</v>
      </c>
      <c r="AT240" s="53">
        <f>SUM(AK241:AK252)</f>
        <v>0</v>
      </c>
      <c r="AU240" s="53">
        <f>SUM(AL241:AL252)</f>
        <v>0</v>
      </c>
    </row>
    <row r="241" spans="1:64" ht="12.75">
      <c r="A241" s="4" t="s">
        <v>101</v>
      </c>
      <c r="B241" s="14" t="s">
        <v>225</v>
      </c>
      <c r="C241" s="244" t="s">
        <v>405</v>
      </c>
      <c r="D241" s="245"/>
      <c r="E241" s="14" t="s">
        <v>506</v>
      </c>
      <c r="F241" s="26">
        <v>7</v>
      </c>
      <c r="G241" s="155">
        <v>0</v>
      </c>
      <c r="H241" s="26">
        <f>F241*AO241</f>
        <v>0</v>
      </c>
      <c r="I241" s="26">
        <f>F241*AP241</f>
        <v>0</v>
      </c>
      <c r="J241" s="26">
        <f>F241*G241</f>
        <v>0</v>
      </c>
      <c r="K241" s="26">
        <v>0</v>
      </c>
      <c r="L241" s="26">
        <f>F241*K241</f>
        <v>0</v>
      </c>
      <c r="M241" s="41" t="s">
        <v>683</v>
      </c>
      <c r="N241" s="5"/>
      <c r="Z241" s="47">
        <f>IF(AQ241="5",BJ241,0)</f>
        <v>0</v>
      </c>
      <c r="AB241" s="47">
        <f>IF(AQ241="1",BH241,0)</f>
        <v>0</v>
      </c>
      <c r="AC241" s="47">
        <f>IF(AQ241="1",BI241,0)</f>
        <v>0</v>
      </c>
      <c r="AD241" s="47">
        <f>IF(AQ241="7",BH241,0)</f>
        <v>0</v>
      </c>
      <c r="AE241" s="47">
        <f>IF(AQ241="7",BI241,0)</f>
        <v>0</v>
      </c>
      <c r="AF241" s="47">
        <f>IF(AQ241="2",BH241,0)</f>
        <v>0</v>
      </c>
      <c r="AG241" s="47">
        <f>IF(AQ241="2",BI241,0)</f>
        <v>0</v>
      </c>
      <c r="AH241" s="47">
        <f>IF(AQ241="0",BJ241,0)</f>
        <v>0</v>
      </c>
      <c r="AI241" s="37"/>
      <c r="AJ241" s="26">
        <f>IF(AN241=0,J241,0)</f>
        <v>0</v>
      </c>
      <c r="AK241" s="26">
        <f>IF(AN241=15,J241,0)</f>
        <v>0</v>
      </c>
      <c r="AL241" s="26">
        <f>IF(AN241=21,J241,0)</f>
        <v>0</v>
      </c>
      <c r="AN241" s="47">
        <v>21</v>
      </c>
      <c r="AO241" s="47">
        <f>G241*0</f>
        <v>0</v>
      </c>
      <c r="AP241" s="47">
        <f>G241*(1-0)</f>
        <v>0</v>
      </c>
      <c r="AQ241" s="48" t="s">
        <v>7</v>
      </c>
      <c r="AV241" s="47">
        <f>AW241+AX241</f>
        <v>0</v>
      </c>
      <c r="AW241" s="47">
        <f>F241*AO241</f>
        <v>0</v>
      </c>
      <c r="AX241" s="47">
        <f>F241*AP241</f>
        <v>0</v>
      </c>
      <c r="AY241" s="50" t="s">
        <v>559</v>
      </c>
      <c r="AZ241" s="50" t="s">
        <v>570</v>
      </c>
      <c r="BA241" s="37" t="s">
        <v>571</v>
      </c>
      <c r="BC241" s="47">
        <f>AW241+AX241</f>
        <v>0</v>
      </c>
      <c r="BD241" s="47">
        <f>G241/(100-BE241)*100</f>
        <v>0</v>
      </c>
      <c r="BE241" s="47">
        <v>0</v>
      </c>
      <c r="BF241" s="47">
        <f>L241</f>
        <v>0</v>
      </c>
      <c r="BH241" s="26">
        <f>F241*AO241</f>
        <v>0</v>
      </c>
      <c r="BI241" s="26">
        <f>F241*AP241</f>
        <v>0</v>
      </c>
      <c r="BJ241" s="26">
        <f>F241*G241</f>
        <v>0</v>
      </c>
      <c r="BK241" s="26" t="s">
        <v>576</v>
      </c>
      <c r="BL241" s="47">
        <v>96</v>
      </c>
    </row>
    <row r="242" spans="1:14" ht="12.75">
      <c r="A242" s="5"/>
      <c r="C242" s="18" t="s">
        <v>13</v>
      </c>
      <c r="D242" s="20" t="s">
        <v>490</v>
      </c>
      <c r="F242" s="27">
        <v>7</v>
      </c>
      <c r="M242" s="42"/>
      <c r="N242" s="5"/>
    </row>
    <row r="243" spans="1:64" ht="12.75">
      <c r="A243" s="4" t="s">
        <v>102</v>
      </c>
      <c r="B243" s="14" t="s">
        <v>226</v>
      </c>
      <c r="C243" s="244" t="s">
        <v>406</v>
      </c>
      <c r="D243" s="245"/>
      <c r="E243" s="14" t="s">
        <v>505</v>
      </c>
      <c r="F243" s="26">
        <v>25.63125</v>
      </c>
      <c r="G243" s="155">
        <v>0</v>
      </c>
      <c r="H243" s="26">
        <f>F243*AO243</f>
        <v>0</v>
      </c>
      <c r="I243" s="26">
        <f>F243*AP243</f>
        <v>0</v>
      </c>
      <c r="J243" s="26">
        <f>F243*G243</f>
        <v>0</v>
      </c>
      <c r="K243" s="26">
        <v>0.13167</v>
      </c>
      <c r="L243" s="26">
        <f>F243*K243</f>
        <v>3.3748666875000004</v>
      </c>
      <c r="M243" s="41" t="s">
        <v>683</v>
      </c>
      <c r="N243" s="5"/>
      <c r="Z243" s="47">
        <f>IF(AQ243="5",BJ243,0)</f>
        <v>0</v>
      </c>
      <c r="AB243" s="47">
        <f>IF(AQ243="1",BH243,0)</f>
        <v>0</v>
      </c>
      <c r="AC243" s="47">
        <f>IF(AQ243="1",BI243,0)</f>
        <v>0</v>
      </c>
      <c r="AD243" s="47">
        <f>IF(AQ243="7",BH243,0)</f>
        <v>0</v>
      </c>
      <c r="AE243" s="47">
        <f>IF(AQ243="7",BI243,0)</f>
        <v>0</v>
      </c>
      <c r="AF243" s="47">
        <f>IF(AQ243="2",BH243,0)</f>
        <v>0</v>
      </c>
      <c r="AG243" s="47">
        <f>IF(AQ243="2",BI243,0)</f>
        <v>0</v>
      </c>
      <c r="AH243" s="47">
        <f>IF(AQ243="0",BJ243,0)</f>
        <v>0</v>
      </c>
      <c r="AI243" s="37"/>
      <c r="AJ243" s="26">
        <f>IF(AN243=0,J243,0)</f>
        <v>0</v>
      </c>
      <c r="AK243" s="26">
        <f>IF(AN243=15,J243,0)</f>
        <v>0</v>
      </c>
      <c r="AL243" s="26">
        <f>IF(AN243=21,J243,0)</f>
        <v>0</v>
      </c>
      <c r="AN243" s="47">
        <v>21</v>
      </c>
      <c r="AO243" s="47">
        <f>G243*0.183546074327624</f>
        <v>0</v>
      </c>
      <c r="AP243" s="47">
        <f>G243*(1-0.183546074327624)</f>
        <v>0</v>
      </c>
      <c r="AQ243" s="48" t="s">
        <v>7</v>
      </c>
      <c r="AV243" s="47">
        <f>AW243+AX243</f>
        <v>0</v>
      </c>
      <c r="AW243" s="47">
        <f>F243*AO243</f>
        <v>0</v>
      </c>
      <c r="AX243" s="47">
        <f>F243*AP243</f>
        <v>0</v>
      </c>
      <c r="AY243" s="50" t="s">
        <v>559</v>
      </c>
      <c r="AZ243" s="50" t="s">
        <v>570</v>
      </c>
      <c r="BA243" s="37" t="s">
        <v>571</v>
      </c>
      <c r="BC243" s="47">
        <f>AW243+AX243</f>
        <v>0</v>
      </c>
      <c r="BD243" s="47">
        <f>G243/(100-BE243)*100</f>
        <v>0</v>
      </c>
      <c r="BE243" s="47">
        <v>0</v>
      </c>
      <c r="BF243" s="47">
        <f>L243</f>
        <v>3.3748666875000004</v>
      </c>
      <c r="BH243" s="26">
        <f>F243*AO243</f>
        <v>0</v>
      </c>
      <c r="BI243" s="26">
        <f>F243*AP243</f>
        <v>0</v>
      </c>
      <c r="BJ243" s="26">
        <f>F243*G243</f>
        <v>0</v>
      </c>
      <c r="BK243" s="26" t="s">
        <v>576</v>
      </c>
      <c r="BL243" s="47">
        <v>96</v>
      </c>
    </row>
    <row r="244" spans="1:14" ht="12.75">
      <c r="A244" s="5"/>
      <c r="C244" s="18" t="s">
        <v>407</v>
      </c>
      <c r="D244" s="20" t="s">
        <v>491</v>
      </c>
      <c r="F244" s="27">
        <v>19.5</v>
      </c>
      <c r="M244" s="42"/>
      <c r="N244" s="5"/>
    </row>
    <row r="245" spans="1:14" ht="12.75">
      <c r="A245" s="5"/>
      <c r="C245" s="18" t="s">
        <v>408</v>
      </c>
      <c r="D245" s="20" t="s">
        <v>492</v>
      </c>
      <c r="F245" s="27">
        <v>6.13125</v>
      </c>
      <c r="M245" s="42"/>
      <c r="N245" s="5"/>
    </row>
    <row r="246" spans="1:64" ht="12.75">
      <c r="A246" s="4" t="s">
        <v>103</v>
      </c>
      <c r="B246" s="14" t="s">
        <v>227</v>
      </c>
      <c r="C246" s="244" t="s">
        <v>409</v>
      </c>
      <c r="D246" s="245"/>
      <c r="E246" s="14" t="s">
        <v>505</v>
      </c>
      <c r="F246" s="26">
        <v>21.57</v>
      </c>
      <c r="G246" s="155">
        <v>0</v>
      </c>
      <c r="H246" s="26">
        <f>F246*AO246</f>
        <v>0</v>
      </c>
      <c r="I246" s="26">
        <f>F246*AP246</f>
        <v>0</v>
      </c>
      <c r="J246" s="26">
        <f>F246*G246</f>
        <v>0</v>
      </c>
      <c r="K246" s="26">
        <v>0.02</v>
      </c>
      <c r="L246" s="26">
        <f>F246*K246</f>
        <v>0.4314</v>
      </c>
      <c r="M246" s="41" t="s">
        <v>683</v>
      </c>
      <c r="N246" s="5"/>
      <c r="Z246" s="47">
        <f>IF(AQ246="5",BJ246,0)</f>
        <v>0</v>
      </c>
      <c r="AB246" s="47">
        <f>IF(AQ246="1",BH246,0)</f>
        <v>0</v>
      </c>
      <c r="AC246" s="47">
        <f>IF(AQ246="1",BI246,0)</f>
        <v>0</v>
      </c>
      <c r="AD246" s="47">
        <f>IF(AQ246="7",BH246,0)</f>
        <v>0</v>
      </c>
      <c r="AE246" s="47">
        <f>IF(AQ246="7",BI246,0)</f>
        <v>0</v>
      </c>
      <c r="AF246" s="47">
        <f>IF(AQ246="2",BH246,0)</f>
        <v>0</v>
      </c>
      <c r="AG246" s="47">
        <f>IF(AQ246="2",BI246,0)</f>
        <v>0</v>
      </c>
      <c r="AH246" s="47">
        <f>IF(AQ246="0",BJ246,0)</f>
        <v>0</v>
      </c>
      <c r="AI246" s="37"/>
      <c r="AJ246" s="26">
        <f>IF(AN246=0,J246,0)</f>
        <v>0</v>
      </c>
      <c r="AK246" s="26">
        <f>IF(AN246=15,J246,0)</f>
        <v>0</v>
      </c>
      <c r="AL246" s="26">
        <f>IF(AN246=21,J246,0)</f>
        <v>0</v>
      </c>
      <c r="AN246" s="47">
        <v>21</v>
      </c>
      <c r="AO246" s="47">
        <f>G246*0</f>
        <v>0</v>
      </c>
      <c r="AP246" s="47">
        <f>G246*(1-0)</f>
        <v>0</v>
      </c>
      <c r="AQ246" s="48" t="s">
        <v>7</v>
      </c>
      <c r="AV246" s="47">
        <f>AW246+AX246</f>
        <v>0</v>
      </c>
      <c r="AW246" s="47">
        <f>F246*AO246</f>
        <v>0</v>
      </c>
      <c r="AX246" s="47">
        <f>F246*AP246</f>
        <v>0</v>
      </c>
      <c r="AY246" s="50" t="s">
        <v>559</v>
      </c>
      <c r="AZ246" s="50" t="s">
        <v>570</v>
      </c>
      <c r="BA246" s="37" t="s">
        <v>571</v>
      </c>
      <c r="BC246" s="47">
        <f>AW246+AX246</f>
        <v>0</v>
      </c>
      <c r="BD246" s="47">
        <f>G246/(100-BE246)*100</f>
        <v>0</v>
      </c>
      <c r="BE246" s="47">
        <v>0</v>
      </c>
      <c r="BF246" s="47">
        <f>L246</f>
        <v>0.4314</v>
      </c>
      <c r="BH246" s="26">
        <f>F246*AO246</f>
        <v>0</v>
      </c>
      <c r="BI246" s="26">
        <f>F246*AP246</f>
        <v>0</v>
      </c>
      <c r="BJ246" s="26">
        <f>F246*G246</f>
        <v>0</v>
      </c>
      <c r="BK246" s="26" t="s">
        <v>576</v>
      </c>
      <c r="BL246" s="47">
        <v>96</v>
      </c>
    </row>
    <row r="247" spans="1:14" ht="12.75">
      <c r="A247" s="5"/>
      <c r="C247" s="18" t="s">
        <v>265</v>
      </c>
      <c r="D247" s="20" t="s">
        <v>493</v>
      </c>
      <c r="F247" s="27">
        <v>21.57</v>
      </c>
      <c r="M247" s="42"/>
      <c r="N247" s="5"/>
    </row>
    <row r="248" spans="1:64" ht="12.75">
      <c r="A248" s="4" t="s">
        <v>104</v>
      </c>
      <c r="B248" s="14" t="s">
        <v>228</v>
      </c>
      <c r="C248" s="244" t="s">
        <v>410</v>
      </c>
      <c r="D248" s="245"/>
      <c r="E248" s="14" t="s">
        <v>505</v>
      </c>
      <c r="F248" s="26">
        <v>7</v>
      </c>
      <c r="G248" s="155">
        <v>0</v>
      </c>
      <c r="H248" s="26">
        <f>F248*AO248</f>
        <v>0</v>
      </c>
      <c r="I248" s="26">
        <f>F248*AP248</f>
        <v>0</v>
      </c>
      <c r="J248" s="26">
        <f>F248*G248</f>
        <v>0</v>
      </c>
      <c r="K248" s="26">
        <v>0.07717</v>
      </c>
      <c r="L248" s="26">
        <f>F248*K248</f>
        <v>0.5401900000000001</v>
      </c>
      <c r="M248" s="41" t="s">
        <v>683</v>
      </c>
      <c r="N248" s="5"/>
      <c r="Z248" s="47">
        <f>IF(AQ248="5",BJ248,0)</f>
        <v>0</v>
      </c>
      <c r="AB248" s="47">
        <f>IF(AQ248="1",BH248,0)</f>
        <v>0</v>
      </c>
      <c r="AC248" s="47">
        <f>IF(AQ248="1",BI248,0)</f>
        <v>0</v>
      </c>
      <c r="AD248" s="47">
        <f>IF(AQ248="7",BH248,0)</f>
        <v>0</v>
      </c>
      <c r="AE248" s="47">
        <f>IF(AQ248="7",BI248,0)</f>
        <v>0</v>
      </c>
      <c r="AF248" s="47">
        <f>IF(AQ248="2",BH248,0)</f>
        <v>0</v>
      </c>
      <c r="AG248" s="47">
        <f>IF(AQ248="2",BI248,0)</f>
        <v>0</v>
      </c>
      <c r="AH248" s="47">
        <f>IF(AQ248="0",BJ248,0)</f>
        <v>0</v>
      </c>
      <c r="AI248" s="37"/>
      <c r="AJ248" s="26">
        <f>IF(AN248=0,J248,0)</f>
        <v>0</v>
      </c>
      <c r="AK248" s="26">
        <f>IF(AN248=15,J248,0)</f>
        <v>0</v>
      </c>
      <c r="AL248" s="26">
        <f>IF(AN248=21,J248,0)</f>
        <v>0</v>
      </c>
      <c r="AN248" s="47">
        <v>21</v>
      </c>
      <c r="AO248" s="47">
        <f>G248*0.0708827404479578</f>
        <v>0</v>
      </c>
      <c r="AP248" s="47">
        <f>G248*(1-0.0708827404479578)</f>
        <v>0</v>
      </c>
      <c r="AQ248" s="48" t="s">
        <v>7</v>
      </c>
      <c r="AV248" s="47">
        <f>AW248+AX248</f>
        <v>0</v>
      </c>
      <c r="AW248" s="47">
        <f>F248*AO248</f>
        <v>0</v>
      </c>
      <c r="AX248" s="47">
        <f>F248*AP248</f>
        <v>0</v>
      </c>
      <c r="AY248" s="50" t="s">
        <v>559</v>
      </c>
      <c r="AZ248" s="50" t="s">
        <v>570</v>
      </c>
      <c r="BA248" s="37" t="s">
        <v>571</v>
      </c>
      <c r="BC248" s="47">
        <f>AW248+AX248</f>
        <v>0</v>
      </c>
      <c r="BD248" s="47">
        <f>G248/(100-BE248)*100</f>
        <v>0</v>
      </c>
      <c r="BE248" s="47">
        <v>0</v>
      </c>
      <c r="BF248" s="47">
        <f>L248</f>
        <v>0.5401900000000001</v>
      </c>
      <c r="BH248" s="26">
        <f>F248*AO248</f>
        <v>0</v>
      </c>
      <c r="BI248" s="26">
        <f>F248*AP248</f>
        <v>0</v>
      </c>
      <c r="BJ248" s="26">
        <f>F248*G248</f>
        <v>0</v>
      </c>
      <c r="BK248" s="26" t="s">
        <v>576</v>
      </c>
      <c r="BL248" s="47">
        <v>96</v>
      </c>
    </row>
    <row r="249" spans="1:14" ht="12.75">
      <c r="A249" s="5"/>
      <c r="C249" s="18" t="s">
        <v>13</v>
      </c>
      <c r="D249" s="20" t="s">
        <v>490</v>
      </c>
      <c r="F249" s="27">
        <v>7</v>
      </c>
      <c r="M249" s="42"/>
      <c r="N249" s="5"/>
    </row>
    <row r="250" spans="1:64" ht="12.75">
      <c r="A250" s="4" t="s">
        <v>105</v>
      </c>
      <c r="B250" s="14" t="s">
        <v>229</v>
      </c>
      <c r="C250" s="244" t="s">
        <v>411</v>
      </c>
      <c r="D250" s="245"/>
      <c r="E250" s="14" t="s">
        <v>508</v>
      </c>
      <c r="F250" s="26">
        <v>0</v>
      </c>
      <c r="G250" s="155">
        <v>0</v>
      </c>
      <c r="H250" s="26">
        <f>F250*AO250</f>
        <v>0</v>
      </c>
      <c r="I250" s="26">
        <f>F250*AP250</f>
        <v>0</v>
      </c>
      <c r="J250" s="26">
        <f>F250*G250</f>
        <v>0</v>
      </c>
      <c r="K250" s="26">
        <v>0.01338</v>
      </c>
      <c r="L250" s="26">
        <f>F250*K250</f>
        <v>0</v>
      </c>
      <c r="M250" s="41" t="s">
        <v>683</v>
      </c>
      <c r="N250" s="5"/>
      <c r="Z250" s="47">
        <f>IF(AQ250="5",BJ250,0)</f>
        <v>0</v>
      </c>
      <c r="AB250" s="47">
        <f>IF(AQ250="1",BH250,0)</f>
        <v>0</v>
      </c>
      <c r="AC250" s="47">
        <f>IF(AQ250="1",BI250,0)</f>
        <v>0</v>
      </c>
      <c r="AD250" s="47">
        <f>IF(AQ250="7",BH250,0)</f>
        <v>0</v>
      </c>
      <c r="AE250" s="47">
        <f>IF(AQ250="7",BI250,0)</f>
        <v>0</v>
      </c>
      <c r="AF250" s="47">
        <f>IF(AQ250="2",BH250,0)</f>
        <v>0</v>
      </c>
      <c r="AG250" s="47">
        <f>IF(AQ250="2",BI250,0)</f>
        <v>0</v>
      </c>
      <c r="AH250" s="47">
        <f>IF(AQ250="0",BJ250,0)</f>
        <v>0</v>
      </c>
      <c r="AI250" s="37"/>
      <c r="AJ250" s="26">
        <f>IF(AN250=0,J250,0)</f>
        <v>0</v>
      </c>
      <c r="AK250" s="26">
        <f>IF(AN250=15,J250,0)</f>
        <v>0</v>
      </c>
      <c r="AL250" s="26">
        <f>IF(AN250=21,J250,0)</f>
        <v>0</v>
      </c>
      <c r="AN250" s="47">
        <v>21</v>
      </c>
      <c r="AO250" s="47">
        <f>G250*0</f>
        <v>0</v>
      </c>
      <c r="AP250" s="47">
        <f>G250*(1-0)</f>
        <v>0</v>
      </c>
      <c r="AQ250" s="48" t="s">
        <v>7</v>
      </c>
      <c r="AV250" s="47">
        <f>AW250+AX250</f>
        <v>0</v>
      </c>
      <c r="AW250" s="47">
        <f>F250*AO250</f>
        <v>0</v>
      </c>
      <c r="AX250" s="47">
        <f>F250*AP250</f>
        <v>0</v>
      </c>
      <c r="AY250" s="50" t="s">
        <v>559</v>
      </c>
      <c r="AZ250" s="50" t="s">
        <v>570</v>
      </c>
      <c r="BA250" s="37" t="s">
        <v>571</v>
      </c>
      <c r="BC250" s="47">
        <f>AW250+AX250</f>
        <v>0</v>
      </c>
      <c r="BD250" s="47">
        <f>G250/(100-BE250)*100</f>
        <v>0</v>
      </c>
      <c r="BE250" s="47">
        <v>0</v>
      </c>
      <c r="BF250" s="47">
        <f>L250</f>
        <v>0</v>
      </c>
      <c r="BH250" s="26">
        <f>F250*AO250</f>
        <v>0</v>
      </c>
      <c r="BI250" s="26">
        <f>F250*AP250</f>
        <v>0</v>
      </c>
      <c r="BJ250" s="26">
        <f>F250*G250</f>
        <v>0</v>
      </c>
      <c r="BK250" s="26" t="s">
        <v>576</v>
      </c>
      <c r="BL250" s="47">
        <v>96</v>
      </c>
    </row>
    <row r="251" spans="1:64" ht="12.75">
      <c r="A251" s="4" t="s">
        <v>106</v>
      </c>
      <c r="B251" s="14" t="s">
        <v>230</v>
      </c>
      <c r="C251" s="244" t="s">
        <v>412</v>
      </c>
      <c r="D251" s="245"/>
      <c r="E251" s="14" t="s">
        <v>508</v>
      </c>
      <c r="F251" s="26">
        <v>0</v>
      </c>
      <c r="G251" s="155">
        <v>0</v>
      </c>
      <c r="H251" s="26">
        <f>F251*AO251</f>
        <v>0</v>
      </c>
      <c r="I251" s="26">
        <f>F251*AP251</f>
        <v>0</v>
      </c>
      <c r="J251" s="26">
        <f>F251*G251</f>
        <v>0</v>
      </c>
      <c r="K251" s="26">
        <v>0.03759</v>
      </c>
      <c r="L251" s="26">
        <f>F251*K251</f>
        <v>0</v>
      </c>
      <c r="M251" s="41" t="s">
        <v>683</v>
      </c>
      <c r="N251" s="5"/>
      <c r="Z251" s="47">
        <f>IF(AQ251="5",BJ251,0)</f>
        <v>0</v>
      </c>
      <c r="AB251" s="47">
        <f>IF(AQ251="1",BH251,0)</f>
        <v>0</v>
      </c>
      <c r="AC251" s="47">
        <f>IF(AQ251="1",BI251,0)</f>
        <v>0</v>
      </c>
      <c r="AD251" s="47">
        <f>IF(AQ251="7",BH251,0)</f>
        <v>0</v>
      </c>
      <c r="AE251" s="47">
        <f>IF(AQ251="7",BI251,0)</f>
        <v>0</v>
      </c>
      <c r="AF251" s="47">
        <f>IF(AQ251="2",BH251,0)</f>
        <v>0</v>
      </c>
      <c r="AG251" s="47">
        <f>IF(AQ251="2",BI251,0)</f>
        <v>0</v>
      </c>
      <c r="AH251" s="47">
        <f>IF(AQ251="0",BJ251,0)</f>
        <v>0</v>
      </c>
      <c r="AI251" s="37"/>
      <c r="AJ251" s="26">
        <f>IF(AN251=0,J251,0)</f>
        <v>0</v>
      </c>
      <c r="AK251" s="26">
        <f>IF(AN251=15,J251,0)</f>
        <v>0</v>
      </c>
      <c r="AL251" s="26">
        <f>IF(AN251=21,J251,0)</f>
        <v>0</v>
      </c>
      <c r="AN251" s="47">
        <v>21</v>
      </c>
      <c r="AO251" s="47">
        <f>G251*0</f>
        <v>0</v>
      </c>
      <c r="AP251" s="47">
        <f>G251*(1-0)</f>
        <v>0</v>
      </c>
      <c r="AQ251" s="48" t="s">
        <v>7</v>
      </c>
      <c r="AV251" s="47">
        <f>AW251+AX251</f>
        <v>0</v>
      </c>
      <c r="AW251" s="47">
        <f>F251*AO251</f>
        <v>0</v>
      </c>
      <c r="AX251" s="47">
        <f>F251*AP251</f>
        <v>0</v>
      </c>
      <c r="AY251" s="50" t="s">
        <v>559</v>
      </c>
      <c r="AZ251" s="50" t="s">
        <v>570</v>
      </c>
      <c r="BA251" s="37" t="s">
        <v>571</v>
      </c>
      <c r="BC251" s="47">
        <f>AW251+AX251</f>
        <v>0</v>
      </c>
      <c r="BD251" s="47">
        <f>G251/(100-BE251)*100</f>
        <v>0</v>
      </c>
      <c r="BE251" s="47">
        <v>0</v>
      </c>
      <c r="BF251" s="47">
        <f>L251</f>
        <v>0</v>
      </c>
      <c r="BH251" s="26">
        <f>F251*AO251</f>
        <v>0</v>
      </c>
      <c r="BI251" s="26">
        <f>F251*AP251</f>
        <v>0</v>
      </c>
      <c r="BJ251" s="26">
        <f>F251*G251</f>
        <v>0</v>
      </c>
      <c r="BK251" s="26" t="s">
        <v>576</v>
      </c>
      <c r="BL251" s="47">
        <v>96</v>
      </c>
    </row>
    <row r="252" spans="1:64" ht="12.75">
      <c r="A252" s="4" t="s">
        <v>107</v>
      </c>
      <c r="B252" s="14" t="s">
        <v>231</v>
      </c>
      <c r="C252" s="244" t="s">
        <v>413</v>
      </c>
      <c r="D252" s="245"/>
      <c r="E252" s="14" t="s">
        <v>511</v>
      </c>
      <c r="F252" s="26">
        <v>1.0785</v>
      </c>
      <c r="G252" s="155">
        <v>0</v>
      </c>
      <c r="H252" s="26">
        <f>F252*AO252</f>
        <v>0</v>
      </c>
      <c r="I252" s="26">
        <f>F252*AP252</f>
        <v>0</v>
      </c>
      <c r="J252" s="26">
        <f>F252*G252</f>
        <v>0</v>
      </c>
      <c r="K252" s="26">
        <v>2.2</v>
      </c>
      <c r="L252" s="26">
        <f>F252*K252</f>
        <v>2.3727</v>
      </c>
      <c r="M252" s="41" t="s">
        <v>683</v>
      </c>
      <c r="N252" s="5"/>
      <c r="Z252" s="47">
        <f>IF(AQ252="5",BJ252,0)</f>
        <v>0</v>
      </c>
      <c r="AB252" s="47">
        <f>IF(AQ252="1",BH252,0)</f>
        <v>0</v>
      </c>
      <c r="AC252" s="47">
        <f>IF(AQ252="1",BI252,0)</f>
        <v>0</v>
      </c>
      <c r="AD252" s="47">
        <f>IF(AQ252="7",BH252,0)</f>
        <v>0</v>
      </c>
      <c r="AE252" s="47">
        <f>IF(AQ252="7",BI252,0)</f>
        <v>0</v>
      </c>
      <c r="AF252" s="47">
        <f>IF(AQ252="2",BH252,0)</f>
        <v>0</v>
      </c>
      <c r="AG252" s="47">
        <f>IF(AQ252="2",BI252,0)</f>
        <v>0</v>
      </c>
      <c r="AH252" s="47">
        <f>IF(AQ252="0",BJ252,0)</f>
        <v>0</v>
      </c>
      <c r="AI252" s="37"/>
      <c r="AJ252" s="26">
        <f>IF(AN252=0,J252,0)</f>
        <v>0</v>
      </c>
      <c r="AK252" s="26">
        <f>IF(AN252=15,J252,0)</f>
        <v>0</v>
      </c>
      <c r="AL252" s="26">
        <f>IF(AN252=21,J252,0)</f>
        <v>0</v>
      </c>
      <c r="AN252" s="47">
        <v>21</v>
      </c>
      <c r="AO252" s="47">
        <f>G252*0</f>
        <v>0</v>
      </c>
      <c r="AP252" s="47">
        <f>G252*(1-0)</f>
        <v>0</v>
      </c>
      <c r="AQ252" s="48" t="s">
        <v>7</v>
      </c>
      <c r="AV252" s="47">
        <f>AW252+AX252</f>
        <v>0</v>
      </c>
      <c r="AW252" s="47">
        <f>F252*AO252</f>
        <v>0</v>
      </c>
      <c r="AX252" s="47">
        <f>F252*AP252</f>
        <v>0</v>
      </c>
      <c r="AY252" s="50" t="s">
        <v>559</v>
      </c>
      <c r="AZ252" s="50" t="s">
        <v>570</v>
      </c>
      <c r="BA252" s="37" t="s">
        <v>571</v>
      </c>
      <c r="BC252" s="47">
        <f>AW252+AX252</f>
        <v>0</v>
      </c>
      <c r="BD252" s="47">
        <f>G252/(100-BE252)*100</f>
        <v>0</v>
      </c>
      <c r="BE252" s="47">
        <v>0</v>
      </c>
      <c r="BF252" s="47">
        <f>L252</f>
        <v>2.3727</v>
      </c>
      <c r="BH252" s="26">
        <f>F252*AO252</f>
        <v>0</v>
      </c>
      <c r="BI252" s="26">
        <f>F252*AP252</f>
        <v>0</v>
      </c>
      <c r="BJ252" s="26">
        <f>F252*G252</f>
        <v>0</v>
      </c>
      <c r="BK252" s="26" t="s">
        <v>576</v>
      </c>
      <c r="BL252" s="47">
        <v>96</v>
      </c>
    </row>
    <row r="253" spans="1:14" ht="12.75">
      <c r="A253" s="5"/>
      <c r="C253" s="18" t="s">
        <v>414</v>
      </c>
      <c r="D253" s="20" t="s">
        <v>493</v>
      </c>
      <c r="F253" s="27">
        <v>1.0785</v>
      </c>
      <c r="M253" s="42"/>
      <c r="N253" s="5"/>
    </row>
    <row r="254" spans="1:47" ht="12.75">
      <c r="A254" s="6"/>
      <c r="B254" s="15" t="s">
        <v>103</v>
      </c>
      <c r="C254" s="249" t="s">
        <v>415</v>
      </c>
      <c r="D254" s="250"/>
      <c r="E254" s="24" t="s">
        <v>6</v>
      </c>
      <c r="F254" s="24" t="s">
        <v>6</v>
      </c>
      <c r="G254" s="24" t="s">
        <v>6</v>
      </c>
      <c r="H254" s="53">
        <f>SUM(H255:H269)</f>
        <v>0</v>
      </c>
      <c r="I254" s="53">
        <f>SUM(I255:I269)</f>
        <v>0</v>
      </c>
      <c r="J254" s="53">
        <f>SUM(J255:J269)</f>
        <v>0</v>
      </c>
      <c r="K254" s="37"/>
      <c r="L254" s="53">
        <f>SUM(L255:L269)</f>
        <v>4.9507747</v>
      </c>
      <c r="M254" s="43"/>
      <c r="N254" s="5"/>
      <c r="AI254" s="37"/>
      <c r="AS254" s="53">
        <f>SUM(AJ255:AJ269)</f>
        <v>0</v>
      </c>
      <c r="AT254" s="53">
        <f>SUM(AK255:AK269)</f>
        <v>0</v>
      </c>
      <c r="AU254" s="53">
        <f>SUM(AL255:AL269)</f>
        <v>0</v>
      </c>
    </row>
    <row r="255" spans="1:64" ht="12.75">
      <c r="A255" s="4" t="s">
        <v>108</v>
      </c>
      <c r="B255" s="14" t="s">
        <v>232</v>
      </c>
      <c r="C255" s="244" t="s">
        <v>416</v>
      </c>
      <c r="D255" s="245"/>
      <c r="E255" s="14" t="s">
        <v>505</v>
      </c>
      <c r="F255" s="26">
        <v>30.72</v>
      </c>
      <c r="G255" s="155">
        <v>0</v>
      </c>
      <c r="H255" s="26">
        <f>F255*AO255</f>
        <v>0</v>
      </c>
      <c r="I255" s="26">
        <f>F255*AP255</f>
        <v>0</v>
      </c>
      <c r="J255" s="26">
        <f>F255*G255</f>
        <v>0</v>
      </c>
      <c r="K255" s="26">
        <v>0.068</v>
      </c>
      <c r="L255" s="26">
        <f>F255*K255</f>
        <v>2.08896</v>
      </c>
      <c r="M255" s="41" t="s">
        <v>683</v>
      </c>
      <c r="N255" s="5"/>
      <c r="Z255" s="47">
        <f>IF(AQ255="5",BJ255,0)</f>
        <v>0</v>
      </c>
      <c r="AB255" s="47">
        <f>IF(AQ255="1",BH255,0)</f>
        <v>0</v>
      </c>
      <c r="AC255" s="47">
        <f>IF(AQ255="1",BI255,0)</f>
        <v>0</v>
      </c>
      <c r="AD255" s="47">
        <f>IF(AQ255="7",BH255,0)</f>
        <v>0</v>
      </c>
      <c r="AE255" s="47">
        <f>IF(AQ255="7",BI255,0)</f>
        <v>0</v>
      </c>
      <c r="AF255" s="47">
        <f>IF(AQ255="2",BH255,0)</f>
        <v>0</v>
      </c>
      <c r="AG255" s="47">
        <f>IF(AQ255="2",BI255,0)</f>
        <v>0</v>
      </c>
      <c r="AH255" s="47">
        <f>IF(AQ255="0",BJ255,0)</f>
        <v>0</v>
      </c>
      <c r="AI255" s="37"/>
      <c r="AJ255" s="26">
        <f>IF(AN255=0,J255,0)</f>
        <v>0</v>
      </c>
      <c r="AK255" s="26">
        <f>IF(AN255=15,J255,0)</f>
        <v>0</v>
      </c>
      <c r="AL255" s="26">
        <f>IF(AN255=21,J255,0)</f>
        <v>0</v>
      </c>
      <c r="AN255" s="47">
        <v>21</v>
      </c>
      <c r="AO255" s="47">
        <f>G255*0</f>
        <v>0</v>
      </c>
      <c r="AP255" s="47">
        <f>G255*(1-0)</f>
        <v>0</v>
      </c>
      <c r="AQ255" s="48" t="s">
        <v>7</v>
      </c>
      <c r="AV255" s="47">
        <f>AW255+AX255</f>
        <v>0</v>
      </c>
      <c r="AW255" s="47">
        <f>F255*AO255</f>
        <v>0</v>
      </c>
      <c r="AX255" s="47">
        <f>F255*AP255</f>
        <v>0</v>
      </c>
      <c r="AY255" s="50" t="s">
        <v>560</v>
      </c>
      <c r="AZ255" s="50" t="s">
        <v>570</v>
      </c>
      <c r="BA255" s="37" t="s">
        <v>571</v>
      </c>
      <c r="BC255" s="47">
        <f>AW255+AX255</f>
        <v>0</v>
      </c>
      <c r="BD255" s="47">
        <f>G255/(100-BE255)*100</f>
        <v>0</v>
      </c>
      <c r="BE255" s="47">
        <v>0</v>
      </c>
      <c r="BF255" s="47">
        <f>L255</f>
        <v>2.08896</v>
      </c>
      <c r="BH255" s="26">
        <f>F255*AO255</f>
        <v>0</v>
      </c>
      <c r="BI255" s="26">
        <f>F255*AP255</f>
        <v>0</v>
      </c>
      <c r="BJ255" s="26">
        <f>F255*G255</f>
        <v>0</v>
      </c>
      <c r="BK255" s="26" t="s">
        <v>576</v>
      </c>
      <c r="BL255" s="47">
        <v>97</v>
      </c>
    </row>
    <row r="256" spans="1:14" ht="12.75">
      <c r="A256" s="5"/>
      <c r="C256" s="18" t="s">
        <v>417</v>
      </c>
      <c r="D256" s="20" t="s">
        <v>494</v>
      </c>
      <c r="F256" s="27">
        <v>14.27</v>
      </c>
      <c r="M256" s="42"/>
      <c r="N256" s="5"/>
    </row>
    <row r="257" spans="1:14" ht="12.75">
      <c r="A257" s="5"/>
      <c r="C257" s="18" t="s">
        <v>418</v>
      </c>
      <c r="D257" s="20" t="s">
        <v>495</v>
      </c>
      <c r="F257" s="27">
        <v>11.005</v>
      </c>
      <c r="M257" s="42"/>
      <c r="N257" s="5"/>
    </row>
    <row r="258" spans="1:14" ht="12.75">
      <c r="A258" s="5"/>
      <c r="C258" s="18" t="s">
        <v>419</v>
      </c>
      <c r="D258" s="20" t="s">
        <v>496</v>
      </c>
      <c r="F258" s="27">
        <v>5.445</v>
      </c>
      <c r="M258" s="42"/>
      <c r="N258" s="5"/>
    </row>
    <row r="259" spans="1:64" ht="12.75">
      <c r="A259" s="4" t="s">
        <v>109</v>
      </c>
      <c r="B259" s="14" t="s">
        <v>233</v>
      </c>
      <c r="C259" s="244" t="s">
        <v>420</v>
      </c>
      <c r="D259" s="245"/>
      <c r="E259" s="14" t="s">
        <v>506</v>
      </c>
      <c r="F259" s="26">
        <v>2</v>
      </c>
      <c r="G259" s="155">
        <v>0</v>
      </c>
      <c r="H259" s="26">
        <f>F259*AO259</f>
        <v>0</v>
      </c>
      <c r="I259" s="26">
        <f>F259*AP259</f>
        <v>0</v>
      </c>
      <c r="J259" s="26">
        <f>F259*G259</f>
        <v>0</v>
      </c>
      <c r="K259" s="26">
        <v>0.23233</v>
      </c>
      <c r="L259" s="26">
        <f>F259*K259</f>
        <v>0.46466</v>
      </c>
      <c r="M259" s="41" t="s">
        <v>683</v>
      </c>
      <c r="N259" s="5"/>
      <c r="Z259" s="47">
        <f>IF(AQ259="5",BJ259,0)</f>
        <v>0</v>
      </c>
      <c r="AB259" s="47">
        <f>IF(AQ259="1",BH259,0)</f>
        <v>0</v>
      </c>
      <c r="AC259" s="47">
        <f>IF(AQ259="1",BI259,0)</f>
        <v>0</v>
      </c>
      <c r="AD259" s="47">
        <f>IF(AQ259="7",BH259,0)</f>
        <v>0</v>
      </c>
      <c r="AE259" s="47">
        <f>IF(AQ259="7",BI259,0)</f>
        <v>0</v>
      </c>
      <c r="AF259" s="47">
        <f>IF(AQ259="2",BH259,0)</f>
        <v>0</v>
      </c>
      <c r="AG259" s="47">
        <f>IF(AQ259="2",BI259,0)</f>
        <v>0</v>
      </c>
      <c r="AH259" s="47">
        <f>IF(AQ259="0",BJ259,0)</f>
        <v>0</v>
      </c>
      <c r="AI259" s="37"/>
      <c r="AJ259" s="26">
        <f>IF(AN259=0,J259,0)</f>
        <v>0</v>
      </c>
      <c r="AK259" s="26">
        <f>IF(AN259=15,J259,0)</f>
        <v>0</v>
      </c>
      <c r="AL259" s="26">
        <f>IF(AN259=21,J259,0)</f>
        <v>0</v>
      </c>
      <c r="AN259" s="47">
        <v>21</v>
      </c>
      <c r="AO259" s="47">
        <f>G259*0.0438401023345059</f>
        <v>0</v>
      </c>
      <c r="AP259" s="47">
        <f>G259*(1-0.0438401023345059)</f>
        <v>0</v>
      </c>
      <c r="AQ259" s="48" t="s">
        <v>7</v>
      </c>
      <c r="AV259" s="47">
        <f>AW259+AX259</f>
        <v>0</v>
      </c>
      <c r="AW259" s="47">
        <f>F259*AO259</f>
        <v>0</v>
      </c>
      <c r="AX259" s="47">
        <f>F259*AP259</f>
        <v>0</v>
      </c>
      <c r="AY259" s="50" t="s">
        <v>560</v>
      </c>
      <c r="AZ259" s="50" t="s">
        <v>570</v>
      </c>
      <c r="BA259" s="37" t="s">
        <v>571</v>
      </c>
      <c r="BC259" s="47">
        <f>AW259+AX259</f>
        <v>0</v>
      </c>
      <c r="BD259" s="47">
        <f>G259/(100-BE259)*100</f>
        <v>0</v>
      </c>
      <c r="BE259" s="47">
        <v>0</v>
      </c>
      <c r="BF259" s="47">
        <f>L259</f>
        <v>0.46466</v>
      </c>
      <c r="BH259" s="26">
        <f>F259*AO259</f>
        <v>0</v>
      </c>
      <c r="BI259" s="26">
        <f>F259*AP259</f>
        <v>0</v>
      </c>
      <c r="BJ259" s="26">
        <f>F259*G259</f>
        <v>0</v>
      </c>
      <c r="BK259" s="26" t="s">
        <v>576</v>
      </c>
      <c r="BL259" s="47">
        <v>97</v>
      </c>
    </row>
    <row r="260" spans="1:14" ht="12.75">
      <c r="A260" s="5"/>
      <c r="C260" s="18" t="s">
        <v>8</v>
      </c>
      <c r="D260" s="20" t="s">
        <v>497</v>
      </c>
      <c r="F260" s="27">
        <v>2</v>
      </c>
      <c r="M260" s="42"/>
      <c r="N260" s="5"/>
    </row>
    <row r="261" spans="1:64" ht="12.75">
      <c r="A261" s="4" t="s">
        <v>110</v>
      </c>
      <c r="B261" s="14" t="s">
        <v>234</v>
      </c>
      <c r="C261" s="244" t="s">
        <v>421</v>
      </c>
      <c r="D261" s="245"/>
      <c r="E261" s="14" t="s">
        <v>506</v>
      </c>
      <c r="F261" s="26">
        <v>2</v>
      </c>
      <c r="G261" s="155">
        <v>0</v>
      </c>
      <c r="H261" s="26">
        <f>F261*AO261</f>
        <v>0</v>
      </c>
      <c r="I261" s="26">
        <f>F261*AP261</f>
        <v>0</v>
      </c>
      <c r="J261" s="26">
        <f>F261*G261</f>
        <v>0</v>
      </c>
      <c r="K261" s="26">
        <v>0.02534</v>
      </c>
      <c r="L261" s="26">
        <f>F261*K261</f>
        <v>0.05068</v>
      </c>
      <c r="M261" s="41" t="s">
        <v>683</v>
      </c>
      <c r="N261" s="5"/>
      <c r="Z261" s="47">
        <f>IF(AQ261="5",BJ261,0)</f>
        <v>0</v>
      </c>
      <c r="AB261" s="47">
        <f>IF(AQ261="1",BH261,0)</f>
        <v>0</v>
      </c>
      <c r="AC261" s="47">
        <f>IF(AQ261="1",BI261,0)</f>
        <v>0</v>
      </c>
      <c r="AD261" s="47">
        <f>IF(AQ261="7",BH261,0)</f>
        <v>0</v>
      </c>
      <c r="AE261" s="47">
        <f>IF(AQ261="7",BI261,0)</f>
        <v>0</v>
      </c>
      <c r="AF261" s="47">
        <f>IF(AQ261="2",BH261,0)</f>
        <v>0</v>
      </c>
      <c r="AG261" s="47">
        <f>IF(AQ261="2",BI261,0)</f>
        <v>0</v>
      </c>
      <c r="AH261" s="47">
        <f>IF(AQ261="0",BJ261,0)</f>
        <v>0</v>
      </c>
      <c r="AI261" s="37"/>
      <c r="AJ261" s="26">
        <f>IF(AN261=0,J261,0)</f>
        <v>0</v>
      </c>
      <c r="AK261" s="26">
        <f>IF(AN261=15,J261,0)</f>
        <v>0</v>
      </c>
      <c r="AL261" s="26">
        <f>IF(AN261=21,J261,0)</f>
        <v>0</v>
      </c>
      <c r="AN261" s="47">
        <v>21</v>
      </c>
      <c r="AO261" s="47">
        <f>G261*0.0940150441513136</f>
        <v>0</v>
      </c>
      <c r="AP261" s="47">
        <f>G261*(1-0.0940150441513136)</f>
        <v>0</v>
      </c>
      <c r="AQ261" s="48" t="s">
        <v>7</v>
      </c>
      <c r="AV261" s="47">
        <f>AW261+AX261</f>
        <v>0</v>
      </c>
      <c r="AW261" s="47">
        <f>F261*AO261</f>
        <v>0</v>
      </c>
      <c r="AX261" s="47">
        <f>F261*AP261</f>
        <v>0</v>
      </c>
      <c r="AY261" s="50" t="s">
        <v>560</v>
      </c>
      <c r="AZ261" s="50" t="s">
        <v>570</v>
      </c>
      <c r="BA261" s="37" t="s">
        <v>571</v>
      </c>
      <c r="BC261" s="47">
        <f>AW261+AX261</f>
        <v>0</v>
      </c>
      <c r="BD261" s="47">
        <f>G261/(100-BE261)*100</f>
        <v>0</v>
      </c>
      <c r="BE261" s="47">
        <v>0</v>
      </c>
      <c r="BF261" s="47">
        <f>L261</f>
        <v>0.05068</v>
      </c>
      <c r="BH261" s="26">
        <f>F261*AO261</f>
        <v>0</v>
      </c>
      <c r="BI261" s="26">
        <f>F261*AP261</f>
        <v>0</v>
      </c>
      <c r="BJ261" s="26">
        <f>F261*G261</f>
        <v>0</v>
      </c>
      <c r="BK261" s="26" t="s">
        <v>576</v>
      </c>
      <c r="BL261" s="47">
        <v>97</v>
      </c>
    </row>
    <row r="262" spans="1:14" ht="12.75">
      <c r="A262" s="5"/>
      <c r="C262" s="18" t="s">
        <v>8</v>
      </c>
      <c r="D262" s="20" t="s">
        <v>497</v>
      </c>
      <c r="F262" s="27">
        <v>2</v>
      </c>
      <c r="M262" s="42"/>
      <c r="N262" s="5"/>
    </row>
    <row r="263" spans="1:64" ht="12.75">
      <c r="A263" s="4" t="s">
        <v>111</v>
      </c>
      <c r="B263" s="14" t="s">
        <v>235</v>
      </c>
      <c r="C263" s="244" t="s">
        <v>422</v>
      </c>
      <c r="D263" s="245"/>
      <c r="E263" s="14" t="s">
        <v>506</v>
      </c>
      <c r="F263" s="26">
        <v>4</v>
      </c>
      <c r="G263" s="155">
        <v>0</v>
      </c>
      <c r="H263" s="26">
        <f>F263*AO263</f>
        <v>0</v>
      </c>
      <c r="I263" s="26">
        <f>F263*AP263</f>
        <v>0</v>
      </c>
      <c r="J263" s="26">
        <f>F263*G263</f>
        <v>0</v>
      </c>
      <c r="K263" s="26">
        <v>0.09</v>
      </c>
      <c r="L263" s="26">
        <f>F263*K263</f>
        <v>0.36</v>
      </c>
      <c r="M263" s="41" t="s">
        <v>683</v>
      </c>
      <c r="N263" s="5"/>
      <c r="Z263" s="47">
        <f>IF(AQ263="5",BJ263,0)</f>
        <v>0</v>
      </c>
      <c r="AB263" s="47">
        <f>IF(AQ263="1",BH263,0)</f>
        <v>0</v>
      </c>
      <c r="AC263" s="47">
        <f>IF(AQ263="1",BI263,0)</f>
        <v>0</v>
      </c>
      <c r="AD263" s="47">
        <f>IF(AQ263="7",BH263,0)</f>
        <v>0</v>
      </c>
      <c r="AE263" s="47">
        <f>IF(AQ263="7",BI263,0)</f>
        <v>0</v>
      </c>
      <c r="AF263" s="47">
        <f>IF(AQ263="2",BH263,0)</f>
        <v>0</v>
      </c>
      <c r="AG263" s="47">
        <f>IF(AQ263="2",BI263,0)</f>
        <v>0</v>
      </c>
      <c r="AH263" s="47">
        <f>IF(AQ263="0",BJ263,0)</f>
        <v>0</v>
      </c>
      <c r="AI263" s="37"/>
      <c r="AJ263" s="26">
        <f>IF(AN263=0,J263,0)</f>
        <v>0</v>
      </c>
      <c r="AK263" s="26">
        <f>IF(AN263=15,J263,0)</f>
        <v>0</v>
      </c>
      <c r="AL263" s="26">
        <f>IF(AN263=21,J263,0)</f>
        <v>0</v>
      </c>
      <c r="AN263" s="47">
        <v>21</v>
      </c>
      <c r="AO263" s="47">
        <f>G263*0</f>
        <v>0</v>
      </c>
      <c r="AP263" s="47">
        <f>G263*(1-0)</f>
        <v>0</v>
      </c>
      <c r="AQ263" s="48" t="s">
        <v>7</v>
      </c>
      <c r="AV263" s="47">
        <f>AW263+AX263</f>
        <v>0</v>
      </c>
      <c r="AW263" s="47">
        <f>F263*AO263</f>
        <v>0</v>
      </c>
      <c r="AX263" s="47">
        <f>F263*AP263</f>
        <v>0</v>
      </c>
      <c r="AY263" s="50" t="s">
        <v>560</v>
      </c>
      <c r="AZ263" s="50" t="s">
        <v>570</v>
      </c>
      <c r="BA263" s="37" t="s">
        <v>571</v>
      </c>
      <c r="BC263" s="47">
        <f>AW263+AX263</f>
        <v>0</v>
      </c>
      <c r="BD263" s="47">
        <f>G263/(100-BE263)*100</f>
        <v>0</v>
      </c>
      <c r="BE263" s="47">
        <v>0</v>
      </c>
      <c r="BF263" s="47">
        <f>L263</f>
        <v>0.36</v>
      </c>
      <c r="BH263" s="26">
        <f>F263*AO263</f>
        <v>0</v>
      </c>
      <c r="BI263" s="26">
        <f>F263*AP263</f>
        <v>0</v>
      </c>
      <c r="BJ263" s="26">
        <f>F263*G263</f>
        <v>0</v>
      </c>
      <c r="BK263" s="26" t="s">
        <v>576</v>
      </c>
      <c r="BL263" s="47">
        <v>97</v>
      </c>
    </row>
    <row r="264" spans="1:14" ht="12.75">
      <c r="A264" s="5"/>
      <c r="C264" s="18" t="s">
        <v>10</v>
      </c>
      <c r="D264" s="20" t="s">
        <v>498</v>
      </c>
      <c r="F264" s="27">
        <v>4</v>
      </c>
      <c r="M264" s="42"/>
      <c r="N264" s="5"/>
    </row>
    <row r="265" spans="1:64" ht="12.75">
      <c r="A265" s="4" t="s">
        <v>112</v>
      </c>
      <c r="B265" s="14" t="s">
        <v>236</v>
      </c>
      <c r="C265" s="244" t="s">
        <v>423</v>
      </c>
      <c r="D265" s="245"/>
      <c r="E265" s="14" t="s">
        <v>508</v>
      </c>
      <c r="F265" s="26">
        <v>6.53</v>
      </c>
      <c r="G265" s="155">
        <v>0</v>
      </c>
      <c r="H265" s="26">
        <f>F265*AO265</f>
        <v>0</v>
      </c>
      <c r="I265" s="26">
        <f>F265*AP265</f>
        <v>0</v>
      </c>
      <c r="J265" s="26">
        <f>F265*G265</f>
        <v>0</v>
      </c>
      <c r="K265" s="26">
        <v>0.01949</v>
      </c>
      <c r="L265" s="26">
        <f>F265*K265</f>
        <v>0.1272697</v>
      </c>
      <c r="M265" s="41" t="s">
        <v>683</v>
      </c>
      <c r="N265" s="5"/>
      <c r="Z265" s="47">
        <f>IF(AQ265="5",BJ265,0)</f>
        <v>0</v>
      </c>
      <c r="AB265" s="47">
        <f>IF(AQ265="1",BH265,0)</f>
        <v>0</v>
      </c>
      <c r="AC265" s="47">
        <f>IF(AQ265="1",BI265,0)</f>
        <v>0</v>
      </c>
      <c r="AD265" s="47">
        <f>IF(AQ265="7",BH265,0)</f>
        <v>0</v>
      </c>
      <c r="AE265" s="47">
        <f>IF(AQ265="7",BI265,0)</f>
        <v>0</v>
      </c>
      <c r="AF265" s="47">
        <f>IF(AQ265="2",BH265,0)</f>
        <v>0</v>
      </c>
      <c r="AG265" s="47">
        <f>IF(AQ265="2",BI265,0)</f>
        <v>0</v>
      </c>
      <c r="AH265" s="47">
        <f>IF(AQ265="0",BJ265,0)</f>
        <v>0</v>
      </c>
      <c r="AI265" s="37"/>
      <c r="AJ265" s="26">
        <f>IF(AN265=0,J265,0)</f>
        <v>0</v>
      </c>
      <c r="AK265" s="26">
        <f>IF(AN265=15,J265,0)</f>
        <v>0</v>
      </c>
      <c r="AL265" s="26">
        <f>IF(AN265=21,J265,0)</f>
        <v>0</v>
      </c>
      <c r="AN265" s="47">
        <v>21</v>
      </c>
      <c r="AO265" s="47">
        <f>G265*0.0787457646498333</f>
        <v>0</v>
      </c>
      <c r="AP265" s="47">
        <f>G265*(1-0.0787457646498333)</f>
        <v>0</v>
      </c>
      <c r="AQ265" s="48" t="s">
        <v>7</v>
      </c>
      <c r="AV265" s="47">
        <f>AW265+AX265</f>
        <v>0</v>
      </c>
      <c r="AW265" s="47">
        <f>F265*AO265</f>
        <v>0</v>
      </c>
      <c r="AX265" s="47">
        <f>F265*AP265</f>
        <v>0</v>
      </c>
      <c r="AY265" s="50" t="s">
        <v>560</v>
      </c>
      <c r="AZ265" s="50" t="s">
        <v>570</v>
      </c>
      <c r="BA265" s="37" t="s">
        <v>571</v>
      </c>
      <c r="BC265" s="47">
        <f>AW265+AX265</f>
        <v>0</v>
      </c>
      <c r="BD265" s="47">
        <f>G265/(100-BE265)*100</f>
        <v>0</v>
      </c>
      <c r="BE265" s="47">
        <v>0</v>
      </c>
      <c r="BF265" s="47">
        <f>L265</f>
        <v>0.1272697</v>
      </c>
      <c r="BH265" s="26">
        <f>F265*AO265</f>
        <v>0</v>
      </c>
      <c r="BI265" s="26">
        <f>F265*AP265</f>
        <v>0</v>
      </c>
      <c r="BJ265" s="26">
        <f>F265*G265</f>
        <v>0</v>
      </c>
      <c r="BK265" s="26" t="s">
        <v>576</v>
      </c>
      <c r="BL265" s="47">
        <v>97</v>
      </c>
    </row>
    <row r="266" spans="1:14" ht="12.75">
      <c r="A266" s="5"/>
      <c r="C266" s="18" t="s">
        <v>424</v>
      </c>
      <c r="D266" s="20" t="s">
        <v>440</v>
      </c>
      <c r="F266" s="27">
        <v>6.53</v>
      </c>
      <c r="M266" s="42"/>
      <c r="N266" s="5"/>
    </row>
    <row r="267" spans="1:64" ht="12.75">
      <c r="A267" s="4" t="s">
        <v>113</v>
      </c>
      <c r="B267" s="14" t="s">
        <v>237</v>
      </c>
      <c r="C267" s="244" t="s">
        <v>425</v>
      </c>
      <c r="D267" s="245"/>
      <c r="E267" s="14" t="s">
        <v>508</v>
      </c>
      <c r="F267" s="26">
        <v>2.5</v>
      </c>
      <c r="G267" s="155">
        <v>0</v>
      </c>
      <c r="H267" s="26">
        <f>F267*AO267</f>
        <v>0</v>
      </c>
      <c r="I267" s="26">
        <f>F267*AP267</f>
        <v>0</v>
      </c>
      <c r="J267" s="26">
        <f>F267*G267</f>
        <v>0</v>
      </c>
      <c r="K267" s="26">
        <v>0.00949</v>
      </c>
      <c r="L267" s="26">
        <f>F267*K267</f>
        <v>0.023725</v>
      </c>
      <c r="M267" s="41" t="s">
        <v>683</v>
      </c>
      <c r="N267" s="5"/>
      <c r="Z267" s="47">
        <f>IF(AQ267="5",BJ267,0)</f>
        <v>0</v>
      </c>
      <c r="AB267" s="47">
        <f>IF(AQ267="1",BH267,0)</f>
        <v>0</v>
      </c>
      <c r="AC267" s="47">
        <f>IF(AQ267="1",BI267,0)</f>
        <v>0</v>
      </c>
      <c r="AD267" s="47">
        <f>IF(AQ267="7",BH267,0)</f>
        <v>0</v>
      </c>
      <c r="AE267" s="47">
        <f>IF(AQ267="7",BI267,0)</f>
        <v>0</v>
      </c>
      <c r="AF267" s="47">
        <f>IF(AQ267="2",BH267,0)</f>
        <v>0</v>
      </c>
      <c r="AG267" s="47">
        <f>IF(AQ267="2",BI267,0)</f>
        <v>0</v>
      </c>
      <c r="AH267" s="47">
        <f>IF(AQ267="0",BJ267,0)</f>
        <v>0</v>
      </c>
      <c r="AI267" s="37"/>
      <c r="AJ267" s="26">
        <f>IF(AN267=0,J267,0)</f>
        <v>0</v>
      </c>
      <c r="AK267" s="26">
        <f>IF(AN267=15,J267,0)</f>
        <v>0</v>
      </c>
      <c r="AL267" s="26">
        <f>IF(AN267=21,J267,0)</f>
        <v>0</v>
      </c>
      <c r="AN267" s="47">
        <v>21</v>
      </c>
      <c r="AO267" s="47">
        <f>G267*0.11530612244898</f>
        <v>0</v>
      </c>
      <c r="AP267" s="47">
        <f>G267*(1-0.11530612244898)</f>
        <v>0</v>
      </c>
      <c r="AQ267" s="48" t="s">
        <v>7</v>
      </c>
      <c r="AV267" s="47">
        <f>AW267+AX267</f>
        <v>0</v>
      </c>
      <c r="AW267" s="47">
        <f>F267*AO267</f>
        <v>0</v>
      </c>
      <c r="AX267" s="47">
        <f>F267*AP267</f>
        <v>0</v>
      </c>
      <c r="AY267" s="50" t="s">
        <v>560</v>
      </c>
      <c r="AZ267" s="50" t="s">
        <v>570</v>
      </c>
      <c r="BA267" s="37" t="s">
        <v>571</v>
      </c>
      <c r="BC267" s="47">
        <f>AW267+AX267</f>
        <v>0</v>
      </c>
      <c r="BD267" s="47">
        <f>G267/(100-BE267)*100</f>
        <v>0</v>
      </c>
      <c r="BE267" s="47">
        <v>0</v>
      </c>
      <c r="BF267" s="47">
        <f>L267</f>
        <v>0.023725</v>
      </c>
      <c r="BH267" s="26">
        <f>F267*AO267</f>
        <v>0</v>
      </c>
      <c r="BI267" s="26">
        <f>F267*AP267</f>
        <v>0</v>
      </c>
      <c r="BJ267" s="26">
        <f>F267*G267</f>
        <v>0</v>
      </c>
      <c r="BK267" s="26" t="s">
        <v>576</v>
      </c>
      <c r="BL267" s="47">
        <v>97</v>
      </c>
    </row>
    <row r="268" spans="1:14" ht="12.75">
      <c r="A268" s="5"/>
      <c r="C268" s="18" t="s">
        <v>257</v>
      </c>
      <c r="D268" s="20" t="s">
        <v>441</v>
      </c>
      <c r="F268" s="27">
        <v>2.5</v>
      </c>
      <c r="M268" s="42"/>
      <c r="N268" s="5"/>
    </row>
    <row r="269" spans="1:64" ht="12.75">
      <c r="A269" s="4" t="s">
        <v>114</v>
      </c>
      <c r="B269" s="14" t="s">
        <v>238</v>
      </c>
      <c r="C269" s="244" t="s">
        <v>426</v>
      </c>
      <c r="D269" s="245"/>
      <c r="E269" s="14" t="s">
        <v>505</v>
      </c>
      <c r="F269" s="26">
        <v>91.774</v>
      </c>
      <c r="G269" s="155">
        <v>0</v>
      </c>
      <c r="H269" s="26">
        <f>F269*AO269</f>
        <v>0</v>
      </c>
      <c r="I269" s="26">
        <f>F269*AP269</f>
        <v>0</v>
      </c>
      <c r="J269" s="26">
        <f>F269*G269</f>
        <v>0</v>
      </c>
      <c r="K269" s="26">
        <v>0.02</v>
      </c>
      <c r="L269" s="26">
        <f>F269*K269</f>
        <v>1.83548</v>
      </c>
      <c r="M269" s="41" t="s">
        <v>683</v>
      </c>
      <c r="N269" s="5"/>
      <c r="Z269" s="47">
        <f>IF(AQ269="5",BJ269,0)</f>
        <v>0</v>
      </c>
      <c r="AB269" s="47">
        <f>IF(AQ269="1",BH269,0)</f>
        <v>0</v>
      </c>
      <c r="AC269" s="47">
        <f>IF(AQ269="1",BI269,0)</f>
        <v>0</v>
      </c>
      <c r="AD269" s="47">
        <f>IF(AQ269="7",BH269,0)</f>
        <v>0</v>
      </c>
      <c r="AE269" s="47">
        <f>IF(AQ269="7",BI269,0)</f>
        <v>0</v>
      </c>
      <c r="AF269" s="47">
        <f>IF(AQ269="2",BH269,0)</f>
        <v>0</v>
      </c>
      <c r="AG269" s="47">
        <f>IF(AQ269="2",BI269,0)</f>
        <v>0</v>
      </c>
      <c r="AH269" s="47">
        <f>IF(AQ269="0",BJ269,0)</f>
        <v>0</v>
      </c>
      <c r="AI269" s="37"/>
      <c r="AJ269" s="26">
        <f>IF(AN269=0,J269,0)</f>
        <v>0</v>
      </c>
      <c r="AK269" s="26">
        <f>IF(AN269=15,J269,0)</f>
        <v>0</v>
      </c>
      <c r="AL269" s="26">
        <f>IF(AN269=21,J269,0)</f>
        <v>0</v>
      </c>
      <c r="AN269" s="47">
        <v>21</v>
      </c>
      <c r="AO269" s="47">
        <f>G269*0</f>
        <v>0</v>
      </c>
      <c r="AP269" s="47">
        <f>G269*(1-0)</f>
        <v>0</v>
      </c>
      <c r="AQ269" s="48" t="s">
        <v>7</v>
      </c>
      <c r="AV269" s="47">
        <f>AW269+AX269</f>
        <v>0</v>
      </c>
      <c r="AW269" s="47">
        <f>F269*AO269</f>
        <v>0</v>
      </c>
      <c r="AX269" s="47">
        <f>F269*AP269</f>
        <v>0</v>
      </c>
      <c r="AY269" s="50" t="s">
        <v>560</v>
      </c>
      <c r="AZ269" s="50" t="s">
        <v>570</v>
      </c>
      <c r="BA269" s="37" t="s">
        <v>571</v>
      </c>
      <c r="BC269" s="47">
        <f>AW269+AX269</f>
        <v>0</v>
      </c>
      <c r="BD269" s="47">
        <f>G269/(100-BE269)*100</f>
        <v>0</v>
      </c>
      <c r="BE269" s="47">
        <v>0</v>
      </c>
      <c r="BF269" s="47">
        <f>L269</f>
        <v>1.83548</v>
      </c>
      <c r="BH269" s="26">
        <f>F269*AO269</f>
        <v>0</v>
      </c>
      <c r="BI269" s="26">
        <f>F269*AP269</f>
        <v>0</v>
      </c>
      <c r="BJ269" s="26">
        <f>F269*G269</f>
        <v>0</v>
      </c>
      <c r="BK269" s="26" t="s">
        <v>576</v>
      </c>
      <c r="BL269" s="47">
        <v>97</v>
      </c>
    </row>
    <row r="270" spans="1:14" ht="12.75">
      <c r="A270" s="5"/>
      <c r="C270" s="18" t="s">
        <v>427</v>
      </c>
      <c r="D270" s="20" t="s">
        <v>443</v>
      </c>
      <c r="F270" s="27">
        <v>45.36</v>
      </c>
      <c r="M270" s="42"/>
      <c r="N270" s="5"/>
    </row>
    <row r="271" spans="1:14" ht="12.75">
      <c r="A271" s="5"/>
      <c r="C271" s="18" t="s">
        <v>428</v>
      </c>
      <c r="D271" s="20" t="s">
        <v>444</v>
      </c>
      <c r="F271" s="27">
        <v>46.414</v>
      </c>
      <c r="M271" s="42"/>
      <c r="N271" s="5"/>
    </row>
    <row r="272" spans="1:47" ht="12.75">
      <c r="A272" s="6"/>
      <c r="B272" s="15" t="s">
        <v>239</v>
      </c>
      <c r="C272" s="249" t="s">
        <v>429</v>
      </c>
      <c r="D272" s="250"/>
      <c r="E272" s="24" t="s">
        <v>6</v>
      </c>
      <c r="F272" s="24" t="s">
        <v>6</v>
      </c>
      <c r="G272" s="24" t="s">
        <v>6</v>
      </c>
      <c r="H272" s="53">
        <f>SUM(H273:H273)</f>
        <v>0</v>
      </c>
      <c r="I272" s="53">
        <f>SUM(I273:I273)</f>
        <v>0</v>
      </c>
      <c r="J272" s="53">
        <f>SUM(J273:J273)</f>
        <v>0</v>
      </c>
      <c r="K272" s="37"/>
      <c r="L272" s="53">
        <f>SUM(L273:L273)</f>
        <v>0</v>
      </c>
      <c r="M272" s="43"/>
      <c r="N272" s="5"/>
      <c r="AI272" s="37"/>
      <c r="AS272" s="53">
        <f>SUM(AJ273:AJ273)</f>
        <v>0</v>
      </c>
      <c r="AT272" s="53">
        <f>SUM(AK273:AK273)</f>
        <v>0</v>
      </c>
      <c r="AU272" s="53">
        <f>SUM(AL273:AL273)</f>
        <v>0</v>
      </c>
    </row>
    <row r="273" spans="1:64" ht="12.75">
      <c r="A273" s="7" t="s">
        <v>115</v>
      </c>
      <c r="B273" s="16" t="s">
        <v>240</v>
      </c>
      <c r="C273" s="247" t="s">
        <v>430</v>
      </c>
      <c r="D273" s="248"/>
      <c r="E273" s="16" t="s">
        <v>510</v>
      </c>
      <c r="F273" s="28">
        <v>1</v>
      </c>
      <c r="G273" s="28">
        <f>Elektro!I33</f>
        <v>0</v>
      </c>
      <c r="H273" s="28">
        <f>F273*AO273</f>
        <v>0</v>
      </c>
      <c r="I273" s="28">
        <f>F273*AP273</f>
        <v>0</v>
      </c>
      <c r="J273" s="28">
        <f>F273*G273</f>
        <v>0</v>
      </c>
      <c r="K273" s="28">
        <v>0</v>
      </c>
      <c r="L273" s="28">
        <f>F273*K273</f>
        <v>0</v>
      </c>
      <c r="M273" s="44"/>
      <c r="N273" s="5"/>
      <c r="Z273" s="47">
        <f>IF(AQ273="5",BJ273,0)</f>
        <v>0</v>
      </c>
      <c r="AB273" s="47">
        <f>IF(AQ273="1",BH273,0)</f>
        <v>0</v>
      </c>
      <c r="AC273" s="47">
        <f>IF(AQ273="1",BI273,0)</f>
        <v>0</v>
      </c>
      <c r="AD273" s="47">
        <f>IF(AQ273="7",BH273,0)</f>
        <v>0</v>
      </c>
      <c r="AE273" s="47">
        <f>IF(AQ273="7",BI273,0)</f>
        <v>0</v>
      </c>
      <c r="AF273" s="47">
        <f>IF(AQ273="2",BH273,0)</f>
        <v>0</v>
      </c>
      <c r="AG273" s="47">
        <f>IF(AQ273="2",BI273,0)</f>
        <v>0</v>
      </c>
      <c r="AH273" s="47">
        <f>IF(AQ273="0",BJ273,0)</f>
        <v>0</v>
      </c>
      <c r="AI273" s="37"/>
      <c r="AJ273" s="28">
        <f>IF(AN273=0,J273,0)</f>
        <v>0</v>
      </c>
      <c r="AK273" s="28">
        <f>IF(AN273=15,J273,0)</f>
        <v>0</v>
      </c>
      <c r="AL273" s="28">
        <f>IF(AN273=21,J273,0)</f>
        <v>0</v>
      </c>
      <c r="AN273" s="47">
        <v>21</v>
      </c>
      <c r="AO273" s="47">
        <f>G273*1</f>
        <v>0</v>
      </c>
      <c r="AP273" s="47">
        <f>G273*(1-1)</f>
        <v>0</v>
      </c>
      <c r="AQ273" s="49" t="s">
        <v>7</v>
      </c>
      <c r="AV273" s="47">
        <f>AW273+AX273</f>
        <v>0</v>
      </c>
      <c r="AW273" s="47">
        <f>F273*AO273</f>
        <v>0</v>
      </c>
      <c r="AX273" s="47">
        <f>F273*AP273</f>
        <v>0</v>
      </c>
      <c r="AY273" s="50" t="s">
        <v>561</v>
      </c>
      <c r="AZ273" s="50" t="s">
        <v>570</v>
      </c>
      <c r="BA273" s="37" t="s">
        <v>571</v>
      </c>
      <c r="BC273" s="47">
        <f>AW273+AX273</f>
        <v>0</v>
      </c>
      <c r="BD273" s="47">
        <f>G273/(100-BE273)*100</f>
        <v>0</v>
      </c>
      <c r="BE273" s="47">
        <v>0</v>
      </c>
      <c r="BF273" s="47">
        <f>L273</f>
        <v>0</v>
      </c>
      <c r="BH273" s="28">
        <f>F273*AO273</f>
        <v>0</v>
      </c>
      <c r="BI273" s="28">
        <f>F273*AP273</f>
        <v>0</v>
      </c>
      <c r="BJ273" s="28">
        <f>F273*G273</f>
        <v>0</v>
      </c>
      <c r="BK273" s="28" t="s">
        <v>577</v>
      </c>
      <c r="BL273" s="47" t="s">
        <v>239</v>
      </c>
    </row>
    <row r="274" spans="1:47" ht="12.75">
      <c r="A274" s="6"/>
      <c r="B274" s="15" t="s">
        <v>241</v>
      </c>
      <c r="C274" s="249" t="s">
        <v>431</v>
      </c>
      <c r="D274" s="250"/>
      <c r="E274" s="24" t="s">
        <v>6</v>
      </c>
      <c r="F274" s="24" t="s">
        <v>6</v>
      </c>
      <c r="G274" s="24" t="s">
        <v>6</v>
      </c>
      <c r="H274" s="53">
        <f>SUM(H275:H283)</f>
        <v>0</v>
      </c>
      <c r="I274" s="53">
        <f>SUM(I275:I283)</f>
        <v>0</v>
      </c>
      <c r="J274" s="53">
        <f>SUM(J275:J283)</f>
        <v>0</v>
      </c>
      <c r="K274" s="37"/>
      <c r="L274" s="53">
        <f>SUM(L275:L283)</f>
        <v>0</v>
      </c>
      <c r="M274" s="43"/>
      <c r="N274" s="5"/>
      <c r="AI274" s="37"/>
      <c r="AS274" s="53">
        <f>SUM(AJ275:AJ283)</f>
        <v>0</v>
      </c>
      <c r="AT274" s="53">
        <f>SUM(AK275:AK283)</f>
        <v>0</v>
      </c>
      <c r="AU274" s="53">
        <f>SUM(AL275:AL283)</f>
        <v>0</v>
      </c>
    </row>
    <row r="275" spans="1:64" ht="12.75">
      <c r="A275" s="4" t="s">
        <v>116</v>
      </c>
      <c r="B275" s="14" t="s">
        <v>242</v>
      </c>
      <c r="C275" s="244" t="s">
        <v>432</v>
      </c>
      <c r="D275" s="245"/>
      <c r="E275" s="14" t="s">
        <v>507</v>
      </c>
      <c r="F275" s="26">
        <v>11.66993</v>
      </c>
      <c r="G275" s="155"/>
      <c r="H275" s="26">
        <f>F275*AO275</f>
        <v>0</v>
      </c>
      <c r="I275" s="26">
        <f>F275*AP275</f>
        <v>0</v>
      </c>
      <c r="J275" s="26">
        <f>F275*G275</f>
        <v>0</v>
      </c>
      <c r="K275" s="26">
        <v>0</v>
      </c>
      <c r="L275" s="26">
        <f>F275*K275</f>
        <v>0</v>
      </c>
      <c r="M275" s="41" t="s">
        <v>683</v>
      </c>
      <c r="N275" s="5"/>
      <c r="Z275" s="47">
        <f>IF(AQ275="5",BJ275,0)</f>
        <v>0</v>
      </c>
      <c r="AB275" s="47">
        <f>IF(AQ275="1",BH275,0)</f>
        <v>0</v>
      </c>
      <c r="AC275" s="47">
        <f>IF(AQ275="1",BI275,0)</f>
        <v>0</v>
      </c>
      <c r="AD275" s="47">
        <f>IF(AQ275="7",BH275,0)</f>
        <v>0</v>
      </c>
      <c r="AE275" s="47">
        <f>IF(AQ275="7",BI275,0)</f>
        <v>0</v>
      </c>
      <c r="AF275" s="47">
        <f>IF(AQ275="2",BH275,0)</f>
        <v>0</v>
      </c>
      <c r="AG275" s="47">
        <f>IF(AQ275="2",BI275,0)</f>
        <v>0</v>
      </c>
      <c r="AH275" s="47">
        <f>IF(AQ275="0",BJ275,0)</f>
        <v>0</v>
      </c>
      <c r="AI275" s="37"/>
      <c r="AJ275" s="26">
        <f>IF(AN275=0,J275,0)</f>
        <v>0</v>
      </c>
      <c r="AK275" s="26">
        <f>IF(AN275=15,J275,0)</f>
        <v>0</v>
      </c>
      <c r="AL275" s="26">
        <f>IF(AN275=21,J275,0)</f>
        <v>0</v>
      </c>
      <c r="AN275" s="47">
        <v>21</v>
      </c>
      <c r="AO275" s="47">
        <f>G275*0</f>
        <v>0</v>
      </c>
      <c r="AP275" s="47">
        <f>G275*(1-0)</f>
        <v>0</v>
      </c>
      <c r="AQ275" s="48" t="s">
        <v>11</v>
      </c>
      <c r="AV275" s="47">
        <f>AW275+AX275</f>
        <v>0</v>
      </c>
      <c r="AW275" s="47">
        <f>F275*AO275</f>
        <v>0</v>
      </c>
      <c r="AX275" s="47">
        <f>F275*AP275</f>
        <v>0</v>
      </c>
      <c r="AY275" s="50" t="s">
        <v>562</v>
      </c>
      <c r="AZ275" s="50" t="s">
        <v>570</v>
      </c>
      <c r="BA275" s="37" t="s">
        <v>571</v>
      </c>
      <c r="BC275" s="47">
        <f>AW275+AX275</f>
        <v>0</v>
      </c>
      <c r="BD275" s="47">
        <f>G275/(100-BE275)*100</f>
        <v>0</v>
      </c>
      <c r="BE275" s="47">
        <v>0</v>
      </c>
      <c r="BF275" s="47">
        <f>L275</f>
        <v>0</v>
      </c>
      <c r="BH275" s="26">
        <f>F275*AO275</f>
        <v>0</v>
      </c>
      <c r="BI275" s="26">
        <f>F275*AP275</f>
        <v>0</v>
      </c>
      <c r="BJ275" s="26">
        <f>F275*G275</f>
        <v>0</v>
      </c>
      <c r="BK275" s="26" t="s">
        <v>576</v>
      </c>
      <c r="BL275" s="47" t="s">
        <v>241</v>
      </c>
    </row>
    <row r="276" spans="1:14" ht="12.75">
      <c r="A276" s="5"/>
      <c r="C276" s="18" t="s">
        <v>433</v>
      </c>
      <c r="D276" s="20" t="s">
        <v>499</v>
      </c>
      <c r="F276" s="27">
        <v>11.66993</v>
      </c>
      <c r="M276" s="42"/>
      <c r="N276" s="5"/>
    </row>
    <row r="277" spans="1:64" ht="12.75">
      <c r="A277" s="4" t="s">
        <v>117</v>
      </c>
      <c r="B277" s="14" t="s">
        <v>243</v>
      </c>
      <c r="C277" s="244" t="s">
        <v>434</v>
      </c>
      <c r="D277" s="245"/>
      <c r="E277" s="14" t="s">
        <v>507</v>
      </c>
      <c r="F277" s="26">
        <v>11.66993</v>
      </c>
      <c r="G277" s="155">
        <v>0</v>
      </c>
      <c r="H277" s="26">
        <f>F277*AO277</f>
        <v>0</v>
      </c>
      <c r="I277" s="26">
        <f>F277*AP277</f>
        <v>0</v>
      </c>
      <c r="J277" s="26">
        <f>F277*G277</f>
        <v>0</v>
      </c>
      <c r="K277" s="26">
        <v>0</v>
      </c>
      <c r="L277" s="26">
        <f>F277*K277</f>
        <v>0</v>
      </c>
      <c r="M277" s="41" t="s">
        <v>683</v>
      </c>
      <c r="N277" s="5"/>
      <c r="Z277" s="47">
        <f>IF(AQ277="5",BJ277,0)</f>
        <v>0</v>
      </c>
      <c r="AB277" s="47">
        <f>IF(AQ277="1",BH277,0)</f>
        <v>0</v>
      </c>
      <c r="AC277" s="47">
        <f>IF(AQ277="1",BI277,0)</f>
        <v>0</v>
      </c>
      <c r="AD277" s="47">
        <f>IF(AQ277="7",BH277,0)</f>
        <v>0</v>
      </c>
      <c r="AE277" s="47">
        <f>IF(AQ277="7",BI277,0)</f>
        <v>0</v>
      </c>
      <c r="AF277" s="47">
        <f>IF(AQ277="2",BH277,0)</f>
        <v>0</v>
      </c>
      <c r="AG277" s="47">
        <f>IF(AQ277="2",BI277,0)</f>
        <v>0</v>
      </c>
      <c r="AH277" s="47">
        <f>IF(AQ277="0",BJ277,0)</f>
        <v>0</v>
      </c>
      <c r="AI277" s="37"/>
      <c r="AJ277" s="26">
        <f>IF(AN277=0,J277,0)</f>
        <v>0</v>
      </c>
      <c r="AK277" s="26">
        <f>IF(AN277=15,J277,0)</f>
        <v>0</v>
      </c>
      <c r="AL277" s="26">
        <f>IF(AN277=21,J277,0)</f>
        <v>0</v>
      </c>
      <c r="AN277" s="47">
        <v>21</v>
      </c>
      <c r="AO277" s="47">
        <f>G277*0.0101215706763036</f>
        <v>0</v>
      </c>
      <c r="AP277" s="47">
        <f>G277*(1-0.0101215706763036)</f>
        <v>0</v>
      </c>
      <c r="AQ277" s="48" t="s">
        <v>11</v>
      </c>
      <c r="AV277" s="47">
        <f>AW277+AX277</f>
        <v>0</v>
      </c>
      <c r="AW277" s="47">
        <f>F277*AO277</f>
        <v>0</v>
      </c>
      <c r="AX277" s="47">
        <f>F277*AP277</f>
        <v>0</v>
      </c>
      <c r="AY277" s="50" t="s">
        <v>562</v>
      </c>
      <c r="AZ277" s="50" t="s">
        <v>570</v>
      </c>
      <c r="BA277" s="37" t="s">
        <v>571</v>
      </c>
      <c r="BC277" s="47">
        <f>AW277+AX277</f>
        <v>0</v>
      </c>
      <c r="BD277" s="47">
        <f>G277/(100-BE277)*100</f>
        <v>0</v>
      </c>
      <c r="BE277" s="47">
        <v>0</v>
      </c>
      <c r="BF277" s="47">
        <f>L277</f>
        <v>0</v>
      </c>
      <c r="BH277" s="26">
        <f>F277*AO277</f>
        <v>0</v>
      </c>
      <c r="BI277" s="26">
        <f>F277*AP277</f>
        <v>0</v>
      </c>
      <c r="BJ277" s="26">
        <f>F277*G277</f>
        <v>0</v>
      </c>
      <c r="BK277" s="26" t="s">
        <v>576</v>
      </c>
      <c r="BL277" s="47" t="s">
        <v>241</v>
      </c>
    </row>
    <row r="278" spans="1:14" ht="12.75">
      <c r="A278" s="5"/>
      <c r="C278" s="18" t="s">
        <v>433</v>
      </c>
      <c r="D278" s="20" t="s">
        <v>499</v>
      </c>
      <c r="F278" s="27">
        <v>11.66993</v>
      </c>
      <c r="M278" s="42"/>
      <c r="N278" s="5"/>
    </row>
    <row r="279" spans="1:64" ht="12.75">
      <c r="A279" s="4" t="s">
        <v>118</v>
      </c>
      <c r="B279" s="14" t="s">
        <v>244</v>
      </c>
      <c r="C279" s="244" t="s">
        <v>435</v>
      </c>
      <c r="D279" s="245"/>
      <c r="E279" s="14" t="s">
        <v>507</v>
      </c>
      <c r="F279" s="26">
        <v>11.66993</v>
      </c>
      <c r="G279" s="155">
        <v>0</v>
      </c>
      <c r="H279" s="26">
        <f>F279*AO279</f>
        <v>0</v>
      </c>
      <c r="I279" s="26">
        <f>F279*AP279</f>
        <v>0</v>
      </c>
      <c r="J279" s="26">
        <f>F279*G279</f>
        <v>0</v>
      </c>
      <c r="K279" s="26">
        <v>0</v>
      </c>
      <c r="L279" s="26">
        <f>F279*K279</f>
        <v>0</v>
      </c>
      <c r="M279" s="41" t="s">
        <v>683</v>
      </c>
      <c r="N279" s="5"/>
      <c r="Z279" s="47">
        <f>IF(AQ279="5",BJ279,0)</f>
        <v>0</v>
      </c>
      <c r="AB279" s="47">
        <f>IF(AQ279="1",BH279,0)</f>
        <v>0</v>
      </c>
      <c r="AC279" s="47">
        <f>IF(AQ279="1",BI279,0)</f>
        <v>0</v>
      </c>
      <c r="AD279" s="47">
        <f>IF(AQ279="7",BH279,0)</f>
        <v>0</v>
      </c>
      <c r="AE279" s="47">
        <f>IF(AQ279="7",BI279,0)</f>
        <v>0</v>
      </c>
      <c r="AF279" s="47">
        <f>IF(AQ279="2",BH279,0)</f>
        <v>0</v>
      </c>
      <c r="AG279" s="47">
        <f>IF(AQ279="2",BI279,0)</f>
        <v>0</v>
      </c>
      <c r="AH279" s="47">
        <f>IF(AQ279="0",BJ279,0)</f>
        <v>0</v>
      </c>
      <c r="AI279" s="37"/>
      <c r="AJ279" s="26">
        <f>IF(AN279=0,J279,0)</f>
        <v>0</v>
      </c>
      <c r="AK279" s="26">
        <f>IF(AN279=15,J279,0)</f>
        <v>0</v>
      </c>
      <c r="AL279" s="26">
        <f>IF(AN279=21,J279,0)</f>
        <v>0</v>
      </c>
      <c r="AN279" s="47">
        <v>21</v>
      </c>
      <c r="AO279" s="47">
        <f>G279*0</f>
        <v>0</v>
      </c>
      <c r="AP279" s="47">
        <f>G279*(1-0)</f>
        <v>0</v>
      </c>
      <c r="AQ279" s="48" t="s">
        <v>11</v>
      </c>
      <c r="AV279" s="47">
        <f>AW279+AX279</f>
        <v>0</v>
      </c>
      <c r="AW279" s="47">
        <f>F279*AO279</f>
        <v>0</v>
      </c>
      <c r="AX279" s="47">
        <f>F279*AP279</f>
        <v>0</v>
      </c>
      <c r="AY279" s="50" t="s">
        <v>562</v>
      </c>
      <c r="AZ279" s="50" t="s">
        <v>570</v>
      </c>
      <c r="BA279" s="37" t="s">
        <v>571</v>
      </c>
      <c r="BC279" s="47">
        <f>AW279+AX279</f>
        <v>0</v>
      </c>
      <c r="BD279" s="47">
        <f>G279/(100-BE279)*100</f>
        <v>0</v>
      </c>
      <c r="BE279" s="47">
        <v>0</v>
      </c>
      <c r="BF279" s="47">
        <f>L279</f>
        <v>0</v>
      </c>
      <c r="BH279" s="26">
        <f>F279*AO279</f>
        <v>0</v>
      </c>
      <c r="BI279" s="26">
        <f>F279*AP279</f>
        <v>0</v>
      </c>
      <c r="BJ279" s="26">
        <f>F279*G279</f>
        <v>0</v>
      </c>
      <c r="BK279" s="26" t="s">
        <v>576</v>
      </c>
      <c r="BL279" s="47" t="s">
        <v>241</v>
      </c>
    </row>
    <row r="280" spans="1:14" ht="12.75">
      <c r="A280" s="5"/>
      <c r="C280" s="18" t="s">
        <v>433</v>
      </c>
      <c r="D280" s="20" t="s">
        <v>499</v>
      </c>
      <c r="F280" s="27">
        <v>11.66993</v>
      </c>
      <c r="M280" s="42"/>
      <c r="N280" s="5"/>
    </row>
    <row r="281" spans="1:64" ht="12.75">
      <c r="A281" s="4" t="s">
        <v>119</v>
      </c>
      <c r="B281" s="14" t="s">
        <v>245</v>
      </c>
      <c r="C281" s="244" t="s">
        <v>436</v>
      </c>
      <c r="D281" s="245"/>
      <c r="E281" s="14" t="s">
        <v>507</v>
      </c>
      <c r="F281" s="26">
        <v>11.66993</v>
      </c>
      <c r="G281" s="155">
        <v>0</v>
      </c>
      <c r="H281" s="26">
        <f>F281*AO281</f>
        <v>0</v>
      </c>
      <c r="I281" s="26">
        <f>F281*AP281</f>
        <v>0</v>
      </c>
      <c r="J281" s="26">
        <f>F281*G281</f>
        <v>0</v>
      </c>
      <c r="K281" s="26">
        <v>0</v>
      </c>
      <c r="L281" s="26">
        <f>F281*K281</f>
        <v>0</v>
      </c>
      <c r="M281" s="41" t="s">
        <v>683</v>
      </c>
      <c r="N281" s="5"/>
      <c r="Z281" s="47">
        <f>IF(AQ281="5",BJ281,0)</f>
        <v>0</v>
      </c>
      <c r="AB281" s="47">
        <f>IF(AQ281="1",BH281,0)</f>
        <v>0</v>
      </c>
      <c r="AC281" s="47">
        <f>IF(AQ281="1",BI281,0)</f>
        <v>0</v>
      </c>
      <c r="AD281" s="47">
        <f>IF(AQ281="7",BH281,0)</f>
        <v>0</v>
      </c>
      <c r="AE281" s="47">
        <f>IF(AQ281="7",BI281,0)</f>
        <v>0</v>
      </c>
      <c r="AF281" s="47">
        <f>IF(AQ281="2",BH281,0)</f>
        <v>0</v>
      </c>
      <c r="AG281" s="47">
        <f>IF(AQ281="2",BI281,0)</f>
        <v>0</v>
      </c>
      <c r="AH281" s="47">
        <f>IF(AQ281="0",BJ281,0)</f>
        <v>0</v>
      </c>
      <c r="AI281" s="37"/>
      <c r="AJ281" s="26">
        <f>IF(AN281=0,J281,0)</f>
        <v>0</v>
      </c>
      <c r="AK281" s="26">
        <f>IF(AN281=15,J281,0)</f>
        <v>0</v>
      </c>
      <c r="AL281" s="26">
        <f>IF(AN281=21,J281,0)</f>
        <v>0</v>
      </c>
      <c r="AN281" s="47">
        <v>21</v>
      </c>
      <c r="AO281" s="47">
        <f>G281*0</f>
        <v>0</v>
      </c>
      <c r="AP281" s="47">
        <f>G281*(1-0)</f>
        <v>0</v>
      </c>
      <c r="AQ281" s="48" t="s">
        <v>11</v>
      </c>
      <c r="AV281" s="47">
        <f>AW281+AX281</f>
        <v>0</v>
      </c>
      <c r="AW281" s="47">
        <f>F281*AO281</f>
        <v>0</v>
      </c>
      <c r="AX281" s="47">
        <f>F281*AP281</f>
        <v>0</v>
      </c>
      <c r="AY281" s="50" t="s">
        <v>562</v>
      </c>
      <c r="AZ281" s="50" t="s">
        <v>570</v>
      </c>
      <c r="BA281" s="37" t="s">
        <v>571</v>
      </c>
      <c r="BC281" s="47">
        <f>AW281+AX281</f>
        <v>0</v>
      </c>
      <c r="BD281" s="47">
        <f>G281/(100-BE281)*100</f>
        <v>0</v>
      </c>
      <c r="BE281" s="47">
        <v>0</v>
      </c>
      <c r="BF281" s="47">
        <f>L281</f>
        <v>0</v>
      </c>
      <c r="BH281" s="26">
        <f>F281*AO281</f>
        <v>0</v>
      </c>
      <c r="BI281" s="26">
        <f>F281*AP281</f>
        <v>0</v>
      </c>
      <c r="BJ281" s="26">
        <f>F281*G281</f>
        <v>0</v>
      </c>
      <c r="BK281" s="26" t="s">
        <v>576</v>
      </c>
      <c r="BL281" s="47" t="s">
        <v>241</v>
      </c>
    </row>
    <row r="282" spans="1:14" ht="12.75">
      <c r="A282" s="5"/>
      <c r="C282" s="18" t="s">
        <v>433</v>
      </c>
      <c r="D282" s="20" t="s">
        <v>499</v>
      </c>
      <c r="F282" s="27">
        <v>11.66993</v>
      </c>
      <c r="M282" s="42"/>
      <c r="N282" s="5"/>
    </row>
    <row r="283" spans="1:64" ht="12.75">
      <c r="A283" s="4" t="s">
        <v>120</v>
      </c>
      <c r="B283" s="14" t="s">
        <v>246</v>
      </c>
      <c r="C283" s="244" t="s">
        <v>437</v>
      </c>
      <c r="D283" s="245"/>
      <c r="E283" s="14" t="s">
        <v>507</v>
      </c>
      <c r="F283" s="26">
        <v>186.71888</v>
      </c>
      <c r="G283" s="155">
        <v>0</v>
      </c>
      <c r="H283" s="26">
        <f>F283*AO283</f>
        <v>0</v>
      </c>
      <c r="I283" s="26">
        <f>F283*AP283</f>
        <v>0</v>
      </c>
      <c r="J283" s="26">
        <f>F283*G283</f>
        <v>0</v>
      </c>
      <c r="K283" s="26">
        <v>0</v>
      </c>
      <c r="L283" s="26">
        <f>F283*K283</f>
        <v>0</v>
      </c>
      <c r="M283" s="41" t="s">
        <v>683</v>
      </c>
      <c r="N283" s="5"/>
      <c r="Z283" s="47">
        <f>IF(AQ283="5",BJ283,0)</f>
        <v>0</v>
      </c>
      <c r="AB283" s="47">
        <f>IF(AQ283="1",BH283,0)</f>
        <v>0</v>
      </c>
      <c r="AC283" s="47">
        <f>IF(AQ283="1",BI283,0)</f>
        <v>0</v>
      </c>
      <c r="AD283" s="47">
        <f>IF(AQ283="7",BH283,0)</f>
        <v>0</v>
      </c>
      <c r="AE283" s="47">
        <f>IF(AQ283="7",BI283,0)</f>
        <v>0</v>
      </c>
      <c r="AF283" s="47">
        <f>IF(AQ283="2",BH283,0)</f>
        <v>0</v>
      </c>
      <c r="AG283" s="47">
        <f>IF(AQ283="2",BI283,0)</f>
        <v>0</v>
      </c>
      <c r="AH283" s="47">
        <f>IF(AQ283="0",BJ283,0)</f>
        <v>0</v>
      </c>
      <c r="AI283" s="37"/>
      <c r="AJ283" s="26">
        <f>IF(AN283=0,J283,0)</f>
        <v>0</v>
      </c>
      <c r="AK283" s="26">
        <f>IF(AN283=15,J283,0)</f>
        <v>0</v>
      </c>
      <c r="AL283" s="26">
        <f>IF(AN283=21,J283,0)</f>
        <v>0</v>
      </c>
      <c r="AN283" s="47">
        <v>21</v>
      </c>
      <c r="AO283" s="47">
        <f>G283*0</f>
        <v>0</v>
      </c>
      <c r="AP283" s="47">
        <f>G283*(1-0)</f>
        <v>0</v>
      </c>
      <c r="AQ283" s="48" t="s">
        <v>11</v>
      </c>
      <c r="AV283" s="47">
        <f>AW283+AX283</f>
        <v>0</v>
      </c>
      <c r="AW283" s="47">
        <f>F283*AO283</f>
        <v>0</v>
      </c>
      <c r="AX283" s="47">
        <f>F283*AP283</f>
        <v>0</v>
      </c>
      <c r="AY283" s="50" t="s">
        <v>562</v>
      </c>
      <c r="AZ283" s="50" t="s">
        <v>570</v>
      </c>
      <c r="BA283" s="37" t="s">
        <v>571</v>
      </c>
      <c r="BC283" s="47">
        <f>AW283+AX283</f>
        <v>0</v>
      </c>
      <c r="BD283" s="47">
        <f>G283/(100-BE283)*100</f>
        <v>0</v>
      </c>
      <c r="BE283" s="47">
        <v>0</v>
      </c>
      <c r="BF283" s="47">
        <f>L283</f>
        <v>0</v>
      </c>
      <c r="BH283" s="26">
        <f>F283*AO283</f>
        <v>0</v>
      </c>
      <c r="BI283" s="26">
        <f>F283*AP283</f>
        <v>0</v>
      </c>
      <c r="BJ283" s="26">
        <f>F283*G283</f>
        <v>0</v>
      </c>
      <c r="BK283" s="26" t="s">
        <v>576</v>
      </c>
      <c r="BL283" s="47" t="s">
        <v>241</v>
      </c>
    </row>
    <row r="284" spans="1:14" ht="12.75">
      <c r="A284" s="8"/>
      <c r="B284" s="17"/>
      <c r="C284" s="19" t="s">
        <v>438</v>
      </c>
      <c r="D284" s="21"/>
      <c r="E284" s="17"/>
      <c r="F284" s="29">
        <v>186.71888</v>
      </c>
      <c r="G284" s="17"/>
      <c r="H284" s="17"/>
      <c r="I284" s="17"/>
      <c r="J284" s="17"/>
      <c r="K284" s="17"/>
      <c r="L284" s="17"/>
      <c r="M284" s="45"/>
      <c r="N284" s="5"/>
    </row>
    <row r="285" spans="1:13" ht="12.75">
      <c r="A285" s="9"/>
      <c r="B285" s="9"/>
      <c r="C285" s="9"/>
      <c r="D285" s="9"/>
      <c r="E285" s="9"/>
      <c r="F285" s="9"/>
      <c r="G285" s="9"/>
      <c r="H285" s="246" t="s">
        <v>522</v>
      </c>
      <c r="I285" s="202"/>
      <c r="J285" s="54">
        <f>J12+J15+J24+J27+J35+J57+J130+J164+J174+J182+J186+J196+J205+J216+J220+J229+J232+J240+J254+J272+J274</f>
        <v>0</v>
      </c>
      <c r="K285" s="9"/>
      <c r="L285" s="9"/>
      <c r="M285" s="9"/>
    </row>
    <row r="286" ht="11.25" customHeight="1">
      <c r="A286" s="10" t="s">
        <v>121</v>
      </c>
    </row>
    <row r="287" spans="1:13" ht="12.75">
      <c r="A287" s="167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</row>
  </sheetData>
  <sheetProtection password="CF56" sheet="1"/>
  <mergeCells count="166">
    <mergeCell ref="A1:M1"/>
    <mergeCell ref="A2:B3"/>
    <mergeCell ref="C2:D3"/>
    <mergeCell ref="E2:F3"/>
    <mergeCell ref="G2:G3"/>
    <mergeCell ref="H2:H3"/>
    <mergeCell ref="I2:M3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I6:M7"/>
    <mergeCell ref="A8:B9"/>
    <mergeCell ref="C8:D9"/>
    <mergeCell ref="E8:F9"/>
    <mergeCell ref="G8:G9"/>
    <mergeCell ref="H8:H9"/>
    <mergeCell ref="I8:M9"/>
    <mergeCell ref="C10:D10"/>
    <mergeCell ref="H10:J10"/>
    <mergeCell ref="K10:L10"/>
    <mergeCell ref="C11:D11"/>
    <mergeCell ref="C12:D12"/>
    <mergeCell ref="C13:D13"/>
    <mergeCell ref="C15:D15"/>
    <mergeCell ref="C16:D16"/>
    <mergeCell ref="C19:D19"/>
    <mergeCell ref="C21:D21"/>
    <mergeCell ref="C24:D24"/>
    <mergeCell ref="C25:D25"/>
    <mergeCell ref="C27:D27"/>
    <mergeCell ref="C28:D28"/>
    <mergeCell ref="C30:D30"/>
    <mergeCell ref="C32:D32"/>
    <mergeCell ref="C34:D34"/>
    <mergeCell ref="C35:D35"/>
    <mergeCell ref="C36:D36"/>
    <mergeCell ref="C38:D38"/>
    <mergeCell ref="C40:D40"/>
    <mergeCell ref="C42:D42"/>
    <mergeCell ref="C44:D44"/>
    <mergeCell ref="C46:D46"/>
    <mergeCell ref="C48:D48"/>
    <mergeCell ref="C50:D50"/>
    <mergeCell ref="C52:D52"/>
    <mergeCell ref="C54:D54"/>
    <mergeCell ref="C56:D56"/>
    <mergeCell ref="C57:D57"/>
    <mergeCell ref="C58:D58"/>
    <mergeCell ref="C60:D60"/>
    <mergeCell ref="C62:D62"/>
    <mergeCell ref="C64:D64"/>
    <mergeCell ref="C66:D66"/>
    <mergeCell ref="C70:D70"/>
    <mergeCell ref="C74:D74"/>
    <mergeCell ref="C77:D77"/>
    <mergeCell ref="C79:D79"/>
    <mergeCell ref="C87:D87"/>
    <mergeCell ref="C90:D90"/>
    <mergeCell ref="C92:D92"/>
    <mergeCell ref="C95:D95"/>
    <mergeCell ref="C97:D97"/>
    <mergeCell ref="C99:D99"/>
    <mergeCell ref="C106:D106"/>
    <mergeCell ref="C108:D108"/>
    <mergeCell ref="C114:D114"/>
    <mergeCell ref="C116:D116"/>
    <mergeCell ref="C119:D119"/>
    <mergeCell ref="C121:D121"/>
    <mergeCell ref="C123:D123"/>
    <mergeCell ref="C125:D125"/>
    <mergeCell ref="C129:D129"/>
    <mergeCell ref="C130:D130"/>
    <mergeCell ref="C131:D131"/>
    <mergeCell ref="C133:D133"/>
    <mergeCell ref="C135:D135"/>
    <mergeCell ref="C137:D137"/>
    <mergeCell ref="C139:D139"/>
    <mergeCell ref="C141:D141"/>
    <mergeCell ref="C143:D143"/>
    <mergeCell ref="C145:D145"/>
    <mergeCell ref="C147:D147"/>
    <mergeCell ref="C149:D149"/>
    <mergeCell ref="C151:D151"/>
    <mergeCell ref="C153:D153"/>
    <mergeCell ref="C155:D155"/>
    <mergeCell ref="C157:D157"/>
    <mergeCell ref="C159:D159"/>
    <mergeCell ref="C161:D161"/>
    <mergeCell ref="C163:D163"/>
    <mergeCell ref="C164:D164"/>
    <mergeCell ref="C165:D165"/>
    <mergeCell ref="C167:D167"/>
    <mergeCell ref="C169:D169"/>
    <mergeCell ref="C171:D171"/>
    <mergeCell ref="C173:D173"/>
    <mergeCell ref="C174:D174"/>
    <mergeCell ref="C175:D175"/>
    <mergeCell ref="C177:D177"/>
    <mergeCell ref="C179:D179"/>
    <mergeCell ref="C181:D181"/>
    <mergeCell ref="C182:D182"/>
    <mergeCell ref="C183:D183"/>
    <mergeCell ref="C185:D185"/>
    <mergeCell ref="C186:D186"/>
    <mergeCell ref="C187:D187"/>
    <mergeCell ref="C189:D189"/>
    <mergeCell ref="C191:D191"/>
    <mergeCell ref="C193:D193"/>
    <mergeCell ref="C195:D195"/>
    <mergeCell ref="C196:D196"/>
    <mergeCell ref="C197:D197"/>
    <mergeCell ref="C199:D199"/>
    <mergeCell ref="C201:D201"/>
    <mergeCell ref="C204:D204"/>
    <mergeCell ref="C205:D205"/>
    <mergeCell ref="C206:D206"/>
    <mergeCell ref="C208:D208"/>
    <mergeCell ref="C211:D211"/>
    <mergeCell ref="C215:D215"/>
    <mergeCell ref="C216:D216"/>
    <mergeCell ref="C217:D217"/>
    <mergeCell ref="C220:D220"/>
    <mergeCell ref="C221:D221"/>
    <mergeCell ref="C223:D223"/>
    <mergeCell ref="C227:D227"/>
    <mergeCell ref="C229:D229"/>
    <mergeCell ref="C230:D230"/>
    <mergeCell ref="C232:D232"/>
    <mergeCell ref="C233:D233"/>
    <mergeCell ref="C235:D235"/>
    <mergeCell ref="C237:D237"/>
    <mergeCell ref="C239:D239"/>
    <mergeCell ref="C240:D240"/>
    <mergeCell ref="C241:D241"/>
    <mergeCell ref="C243:D243"/>
    <mergeCell ref="C246:D246"/>
    <mergeCell ref="C248:D248"/>
    <mergeCell ref="C250:D250"/>
    <mergeCell ref="C251:D251"/>
    <mergeCell ref="C252:D252"/>
    <mergeCell ref="C254:D254"/>
    <mergeCell ref="C255:D255"/>
    <mergeCell ref="C259:D259"/>
    <mergeCell ref="C261:D261"/>
    <mergeCell ref="C263:D263"/>
    <mergeCell ref="C265:D265"/>
    <mergeCell ref="C267:D267"/>
    <mergeCell ref="C269:D269"/>
    <mergeCell ref="C272:D272"/>
    <mergeCell ref="C283:D283"/>
    <mergeCell ref="H285:I285"/>
    <mergeCell ref="A287:M287"/>
    <mergeCell ref="C273:D273"/>
    <mergeCell ref="C274:D274"/>
    <mergeCell ref="C275:D275"/>
    <mergeCell ref="C277:D277"/>
    <mergeCell ref="C279:D279"/>
    <mergeCell ref="C281:D281"/>
  </mergeCells>
  <printOptions/>
  <pageMargins left="0.394" right="0.394" top="0.591" bottom="0.591" header="0.5" footer="0.5"/>
  <pageSetup fitToHeight="0" fitToWidth="1"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zoomScalePageLayoutView="0" workbookViewId="0" topLeftCell="A1">
      <pane ySplit="10" topLeftCell="A243" activePane="bottomLeft" state="frozen"/>
      <selection pane="topLeft" activeCell="A1" sqref="A1"/>
      <selection pane="bottomLeft" activeCell="B2" sqref="B2:C3"/>
    </sheetView>
  </sheetViews>
  <sheetFormatPr defaultColWidth="11.57421875" defaultRowHeight="12.75"/>
  <cols>
    <col min="1" max="1" width="17.8515625" style="0" customWidth="1"/>
    <col min="2" max="2" width="17.28125" style="0" customWidth="1"/>
    <col min="3" max="3" width="42.8515625" style="0" customWidth="1"/>
    <col min="4" max="4" width="88.28125" style="0" customWidth="1"/>
    <col min="5" max="5" width="24.140625" style="0" customWidth="1"/>
    <col min="6" max="6" width="15.7109375" style="0" customWidth="1"/>
    <col min="7" max="7" width="18.140625" style="0" customWidth="1"/>
  </cols>
  <sheetData>
    <row r="1" spans="1:7" ht="72.75" customHeight="1">
      <c r="A1" s="241" t="s">
        <v>585</v>
      </c>
      <c r="B1" s="198"/>
      <c r="C1" s="198"/>
      <c r="D1" s="198"/>
      <c r="E1" s="198"/>
      <c r="F1" s="198"/>
      <c r="G1" s="198"/>
    </row>
    <row r="2" spans="1:8" ht="12.75">
      <c r="A2" s="199" t="s">
        <v>1</v>
      </c>
      <c r="B2" s="201" t="str">
        <f>'Stavební rozpočet'!C2</f>
        <v>Stavební úpravy hygienických zařízení - Jídelna  Gymnázium Aš</v>
      </c>
      <c r="C2" s="202"/>
      <c r="D2" s="204" t="s">
        <v>516</v>
      </c>
      <c r="E2" s="204" t="str">
        <f>'Stavební rozpočet'!I2</f>
        <v>Gymnázium Aš, příspěvková organizace</v>
      </c>
      <c r="F2" s="200"/>
      <c r="G2" s="260"/>
      <c r="H2" s="5"/>
    </row>
    <row r="3" spans="1:8" ht="12.75">
      <c r="A3" s="194"/>
      <c r="B3" s="203"/>
      <c r="C3" s="203"/>
      <c r="D3" s="168"/>
      <c r="E3" s="168"/>
      <c r="F3" s="168"/>
      <c r="G3" s="196"/>
      <c r="H3" s="5"/>
    </row>
    <row r="4" spans="1:8" ht="12.75">
      <c r="A4" s="188" t="s">
        <v>2</v>
      </c>
      <c r="B4" s="167" t="str">
        <f>'Stavební rozpočet'!C4</f>
        <v>Školní budova</v>
      </c>
      <c r="C4" s="168"/>
      <c r="D4" s="167" t="s">
        <v>517</v>
      </c>
      <c r="E4" s="167" t="str">
        <f>'Stavební rozpočet'!I4</f>
        <v>Ing. Jaroslav Radovnický, č. autorizace 0300589</v>
      </c>
      <c r="F4" s="168"/>
      <c r="G4" s="196"/>
      <c r="H4" s="5"/>
    </row>
    <row r="5" spans="1:8" ht="12.75">
      <c r="A5" s="194"/>
      <c r="B5" s="168"/>
      <c r="C5" s="168"/>
      <c r="D5" s="168"/>
      <c r="E5" s="168"/>
      <c r="F5" s="168"/>
      <c r="G5" s="196"/>
      <c r="H5" s="5"/>
    </row>
    <row r="6" spans="1:8" ht="12.75">
      <c r="A6" s="188" t="s">
        <v>3</v>
      </c>
      <c r="B6" s="167" t="str">
        <f>'Stavební rozpočet'!C6</f>
        <v>st. 2729, v k.ú. Aš</v>
      </c>
      <c r="C6" s="168"/>
      <c r="D6" s="167" t="s">
        <v>518</v>
      </c>
      <c r="E6" s="167" t="str">
        <f>'Stavební rozpočet'!I6</f>
        <v> </v>
      </c>
      <c r="F6" s="168"/>
      <c r="G6" s="196"/>
      <c r="H6" s="5"/>
    </row>
    <row r="7" spans="1:8" ht="12.75">
      <c r="A7" s="194"/>
      <c r="B7" s="168"/>
      <c r="C7" s="168"/>
      <c r="D7" s="168"/>
      <c r="E7" s="168"/>
      <c r="F7" s="168"/>
      <c r="G7" s="196"/>
      <c r="H7" s="5"/>
    </row>
    <row r="8" spans="1:8" ht="12.75">
      <c r="A8" s="188" t="s">
        <v>519</v>
      </c>
      <c r="B8" s="167" t="str">
        <f>'Stavební rozpočet'!I8</f>
        <v>Ing. Jaroslav Radovnický</v>
      </c>
      <c r="C8" s="168"/>
      <c r="D8" s="167" t="s">
        <v>503</v>
      </c>
      <c r="E8" s="167" t="str">
        <f>'Stavební rozpočet'!G8</f>
        <v>10.05.2022</v>
      </c>
      <c r="F8" s="168"/>
      <c r="G8" s="196"/>
      <c r="H8" s="5"/>
    </row>
    <row r="9" spans="1:8" ht="12.75">
      <c r="A9" s="237"/>
      <c r="B9" s="238"/>
      <c r="C9" s="238"/>
      <c r="D9" s="238"/>
      <c r="E9" s="238"/>
      <c r="F9" s="238"/>
      <c r="G9" s="239"/>
      <c r="H9" s="5"/>
    </row>
    <row r="10" spans="1:8" ht="12.75">
      <c r="A10" s="66" t="s">
        <v>5</v>
      </c>
      <c r="B10" s="55" t="s">
        <v>122</v>
      </c>
      <c r="C10" s="265" t="s">
        <v>249</v>
      </c>
      <c r="D10" s="234"/>
      <c r="E10" s="55" t="s">
        <v>504</v>
      </c>
      <c r="F10" s="71" t="s">
        <v>512</v>
      </c>
      <c r="G10" s="76" t="s">
        <v>586</v>
      </c>
      <c r="H10" s="46"/>
    </row>
    <row r="11" spans="1:8" ht="12.75">
      <c r="A11" s="67" t="s">
        <v>7</v>
      </c>
      <c r="B11" s="68" t="s">
        <v>123</v>
      </c>
      <c r="C11" s="266" t="s">
        <v>252</v>
      </c>
      <c r="D11" s="267"/>
      <c r="E11" s="68" t="s">
        <v>505</v>
      </c>
      <c r="F11" s="72">
        <v>2.768</v>
      </c>
      <c r="G11" s="77">
        <v>0</v>
      </c>
      <c r="H11" s="5"/>
    </row>
    <row r="12" spans="1:8" ht="12" customHeight="1">
      <c r="A12" s="5"/>
      <c r="C12" s="69" t="s">
        <v>253</v>
      </c>
      <c r="D12" s="261" t="s">
        <v>439</v>
      </c>
      <c r="E12" s="262"/>
      <c r="F12" s="73">
        <v>2.768</v>
      </c>
      <c r="G12" s="42"/>
      <c r="H12" s="5"/>
    </row>
    <row r="13" spans="1:8" ht="12.75">
      <c r="A13" s="4" t="s">
        <v>8</v>
      </c>
      <c r="B13" s="14" t="s">
        <v>124</v>
      </c>
      <c r="C13" s="244" t="s">
        <v>255</v>
      </c>
      <c r="D13" s="245"/>
      <c r="E13" s="14" t="s">
        <v>505</v>
      </c>
      <c r="F13" s="26">
        <v>3.4795</v>
      </c>
      <c r="G13" s="78">
        <v>0</v>
      </c>
      <c r="H13" s="5"/>
    </row>
    <row r="14" spans="1:8" ht="12" customHeight="1">
      <c r="A14" s="5"/>
      <c r="C14" s="69" t="s">
        <v>256</v>
      </c>
      <c r="D14" s="261" t="s">
        <v>440</v>
      </c>
      <c r="E14" s="262"/>
      <c r="F14" s="73">
        <v>0.9795</v>
      </c>
      <c r="G14" s="42"/>
      <c r="H14" s="5"/>
    </row>
    <row r="15" spans="1:8" ht="12" customHeight="1">
      <c r="A15" s="4"/>
      <c r="B15" s="14"/>
      <c r="C15" s="69" t="s">
        <v>257</v>
      </c>
      <c r="D15" s="261" t="s">
        <v>441</v>
      </c>
      <c r="E15" s="261"/>
      <c r="F15" s="73">
        <v>2.5</v>
      </c>
      <c r="G15" s="41"/>
      <c r="H15" s="5"/>
    </row>
    <row r="16" spans="1:8" ht="12.75">
      <c r="A16" s="4" t="s">
        <v>9</v>
      </c>
      <c r="B16" s="14" t="s">
        <v>125</v>
      </c>
      <c r="C16" s="244" t="s">
        <v>258</v>
      </c>
      <c r="D16" s="245"/>
      <c r="E16" s="14" t="s">
        <v>505</v>
      </c>
      <c r="F16" s="26">
        <v>59.394</v>
      </c>
      <c r="G16" s="78">
        <v>0</v>
      </c>
      <c r="H16" s="5"/>
    </row>
    <row r="17" spans="1:8" ht="12" customHeight="1">
      <c r="A17" s="5"/>
      <c r="C17" s="69" t="s">
        <v>259</v>
      </c>
      <c r="D17" s="261" t="s">
        <v>442</v>
      </c>
      <c r="E17" s="262"/>
      <c r="F17" s="73">
        <v>59.394</v>
      </c>
      <c r="G17" s="42"/>
      <c r="H17" s="5"/>
    </row>
    <row r="18" spans="1:8" ht="12.75">
      <c r="A18" s="4" t="s">
        <v>10</v>
      </c>
      <c r="B18" s="14" t="s">
        <v>126</v>
      </c>
      <c r="C18" s="244" t="s">
        <v>260</v>
      </c>
      <c r="D18" s="245"/>
      <c r="E18" s="14" t="s">
        <v>505</v>
      </c>
      <c r="F18" s="26">
        <v>42.648</v>
      </c>
      <c r="G18" s="78">
        <v>0</v>
      </c>
      <c r="H18" s="5"/>
    </row>
    <row r="19" spans="1:8" ht="12" customHeight="1">
      <c r="A19" s="5"/>
      <c r="C19" s="69" t="s">
        <v>261</v>
      </c>
      <c r="D19" s="261" t="s">
        <v>443</v>
      </c>
      <c r="E19" s="262"/>
      <c r="F19" s="73">
        <v>21.12</v>
      </c>
      <c r="G19" s="42"/>
      <c r="H19" s="5"/>
    </row>
    <row r="20" spans="1:8" ht="12" customHeight="1">
      <c r="A20" s="4"/>
      <c r="B20" s="14"/>
      <c r="C20" s="69" t="s">
        <v>262</v>
      </c>
      <c r="D20" s="261" t="s">
        <v>444</v>
      </c>
      <c r="E20" s="261"/>
      <c r="F20" s="73">
        <v>21.528</v>
      </c>
      <c r="G20" s="41"/>
      <c r="H20" s="5"/>
    </row>
    <row r="21" spans="1:8" ht="12.75">
      <c r="A21" s="4" t="s">
        <v>11</v>
      </c>
      <c r="B21" s="14" t="s">
        <v>127</v>
      </c>
      <c r="C21" s="244" t="s">
        <v>264</v>
      </c>
      <c r="D21" s="245"/>
      <c r="E21" s="14" t="s">
        <v>505</v>
      </c>
      <c r="F21" s="26">
        <v>21.57</v>
      </c>
      <c r="G21" s="78">
        <v>0</v>
      </c>
      <c r="H21" s="5"/>
    </row>
    <row r="22" spans="1:8" ht="12" customHeight="1">
      <c r="A22" s="5"/>
      <c r="C22" s="69" t="s">
        <v>265</v>
      </c>
      <c r="D22" s="261" t="s">
        <v>445</v>
      </c>
      <c r="E22" s="262"/>
      <c r="F22" s="73">
        <v>21.57</v>
      </c>
      <c r="G22" s="42"/>
      <c r="H22" s="5"/>
    </row>
    <row r="23" spans="1:8" ht="12.75">
      <c r="A23" s="4" t="s">
        <v>12</v>
      </c>
      <c r="B23" s="14" t="s">
        <v>128</v>
      </c>
      <c r="C23" s="244" t="s">
        <v>267</v>
      </c>
      <c r="D23" s="245"/>
      <c r="E23" s="14" t="s">
        <v>506</v>
      </c>
      <c r="F23" s="26">
        <v>4</v>
      </c>
      <c r="G23" s="78">
        <v>0</v>
      </c>
      <c r="H23" s="5"/>
    </row>
    <row r="24" spans="1:8" ht="12" customHeight="1">
      <c r="A24" s="5"/>
      <c r="C24" s="69" t="s">
        <v>10</v>
      </c>
      <c r="D24" s="261" t="s">
        <v>446</v>
      </c>
      <c r="E24" s="262"/>
      <c r="F24" s="73">
        <v>4</v>
      </c>
      <c r="G24" s="42"/>
      <c r="H24" s="5"/>
    </row>
    <row r="25" spans="1:8" ht="12.75">
      <c r="A25" s="7" t="s">
        <v>13</v>
      </c>
      <c r="B25" s="16" t="s">
        <v>129</v>
      </c>
      <c r="C25" s="247" t="s">
        <v>268</v>
      </c>
      <c r="D25" s="248"/>
      <c r="E25" s="16" t="s">
        <v>506</v>
      </c>
      <c r="F25" s="28">
        <v>2</v>
      </c>
      <c r="G25" s="79">
        <v>0</v>
      </c>
      <c r="H25" s="5"/>
    </row>
    <row r="26" spans="1:8" ht="12" customHeight="1">
      <c r="A26" s="5"/>
      <c r="C26" s="69" t="s">
        <v>8</v>
      </c>
      <c r="D26" s="261" t="s">
        <v>446</v>
      </c>
      <c r="E26" s="262"/>
      <c r="F26" s="74">
        <v>2</v>
      </c>
      <c r="G26" s="42"/>
      <c r="H26" s="5"/>
    </row>
    <row r="27" spans="1:8" ht="12.75">
      <c r="A27" s="7" t="s">
        <v>14</v>
      </c>
      <c r="B27" s="16" t="s">
        <v>130</v>
      </c>
      <c r="C27" s="247" t="s">
        <v>269</v>
      </c>
      <c r="D27" s="248"/>
      <c r="E27" s="16" t="s">
        <v>506</v>
      </c>
      <c r="F27" s="28">
        <v>2</v>
      </c>
      <c r="G27" s="79">
        <v>0</v>
      </c>
      <c r="H27" s="5"/>
    </row>
    <row r="28" spans="1:8" ht="12" customHeight="1">
      <c r="A28" s="5"/>
      <c r="C28" s="69" t="s">
        <v>8</v>
      </c>
      <c r="D28" s="261" t="s">
        <v>446</v>
      </c>
      <c r="E28" s="262"/>
      <c r="F28" s="74">
        <v>2</v>
      </c>
      <c r="G28" s="42"/>
      <c r="H28" s="5"/>
    </row>
    <row r="29" spans="1:8" ht="12.75">
      <c r="A29" s="4" t="s">
        <v>15</v>
      </c>
      <c r="B29" s="14" t="s">
        <v>131</v>
      </c>
      <c r="C29" s="244" t="s">
        <v>270</v>
      </c>
      <c r="D29" s="245"/>
      <c r="E29" s="14" t="s">
        <v>507</v>
      </c>
      <c r="F29" s="26">
        <v>6.00094</v>
      </c>
      <c r="G29" s="78">
        <v>0</v>
      </c>
      <c r="H29" s="5"/>
    </row>
    <row r="30" spans="1:8" ht="12.75">
      <c r="A30" s="4" t="s">
        <v>16</v>
      </c>
      <c r="B30" s="14" t="s">
        <v>133</v>
      </c>
      <c r="C30" s="244" t="s">
        <v>272</v>
      </c>
      <c r="D30" s="245"/>
      <c r="E30" s="14" t="s">
        <v>508</v>
      </c>
      <c r="F30" s="26">
        <v>2</v>
      </c>
      <c r="G30" s="78">
        <v>0</v>
      </c>
      <c r="H30" s="5"/>
    </row>
    <row r="31" spans="1:8" ht="12" customHeight="1">
      <c r="A31" s="5"/>
      <c r="C31" s="69" t="s">
        <v>8</v>
      </c>
      <c r="D31" s="261" t="s">
        <v>447</v>
      </c>
      <c r="E31" s="262"/>
      <c r="F31" s="73">
        <v>2</v>
      </c>
      <c r="G31" s="42"/>
      <c r="H31" s="5"/>
    </row>
    <row r="32" spans="1:8" ht="12.75">
      <c r="A32" s="4" t="s">
        <v>17</v>
      </c>
      <c r="B32" s="14" t="s">
        <v>134</v>
      </c>
      <c r="C32" s="244" t="s">
        <v>273</v>
      </c>
      <c r="D32" s="245"/>
      <c r="E32" s="14" t="s">
        <v>508</v>
      </c>
      <c r="F32" s="26">
        <v>10</v>
      </c>
      <c r="G32" s="78">
        <v>0</v>
      </c>
      <c r="H32" s="5"/>
    </row>
    <row r="33" spans="1:8" ht="12" customHeight="1">
      <c r="A33" s="5"/>
      <c r="C33" s="69" t="s">
        <v>274</v>
      </c>
      <c r="D33" s="261" t="s">
        <v>441</v>
      </c>
      <c r="E33" s="262"/>
      <c r="F33" s="73">
        <v>10</v>
      </c>
      <c r="G33" s="42"/>
      <c r="H33" s="5"/>
    </row>
    <row r="34" spans="1:8" ht="12.75">
      <c r="A34" s="4" t="s">
        <v>18</v>
      </c>
      <c r="B34" s="14" t="s">
        <v>135</v>
      </c>
      <c r="C34" s="244" t="s">
        <v>275</v>
      </c>
      <c r="D34" s="245"/>
      <c r="E34" s="14" t="s">
        <v>508</v>
      </c>
      <c r="F34" s="26">
        <v>5</v>
      </c>
      <c r="G34" s="78">
        <v>0</v>
      </c>
      <c r="H34" s="5"/>
    </row>
    <row r="35" spans="1:8" ht="12" customHeight="1">
      <c r="A35" s="5"/>
      <c r="C35" s="69" t="s">
        <v>276</v>
      </c>
      <c r="D35" s="261" t="s">
        <v>441</v>
      </c>
      <c r="E35" s="262"/>
      <c r="F35" s="73">
        <v>5</v>
      </c>
      <c r="G35" s="42"/>
      <c r="H35" s="5"/>
    </row>
    <row r="36" spans="1:8" ht="12.75">
      <c r="A36" s="4" t="s">
        <v>19</v>
      </c>
      <c r="B36" s="14" t="s">
        <v>136</v>
      </c>
      <c r="C36" s="244" t="s">
        <v>277</v>
      </c>
      <c r="D36" s="245"/>
      <c r="E36" s="14" t="s">
        <v>508</v>
      </c>
      <c r="F36" s="26">
        <v>3</v>
      </c>
      <c r="G36" s="78">
        <v>0</v>
      </c>
      <c r="H36" s="5"/>
    </row>
    <row r="37" spans="1:8" ht="12" customHeight="1">
      <c r="A37" s="5"/>
      <c r="C37" s="69" t="s">
        <v>9</v>
      </c>
      <c r="D37" s="261" t="s">
        <v>441</v>
      </c>
      <c r="E37" s="262"/>
      <c r="F37" s="73">
        <v>3</v>
      </c>
      <c r="G37" s="42"/>
      <c r="H37" s="5"/>
    </row>
    <row r="38" spans="1:8" ht="12.75">
      <c r="A38" s="4" t="s">
        <v>20</v>
      </c>
      <c r="B38" s="14" t="s">
        <v>137</v>
      </c>
      <c r="C38" s="244" t="s">
        <v>278</v>
      </c>
      <c r="D38" s="245"/>
      <c r="E38" s="14" t="s">
        <v>508</v>
      </c>
      <c r="F38" s="26">
        <v>9</v>
      </c>
      <c r="G38" s="78">
        <v>0</v>
      </c>
      <c r="H38" s="5"/>
    </row>
    <row r="39" spans="1:8" ht="12" customHeight="1">
      <c r="A39" s="5"/>
      <c r="C39" s="69" t="s">
        <v>279</v>
      </c>
      <c r="D39" s="261" t="s">
        <v>441</v>
      </c>
      <c r="E39" s="262"/>
      <c r="F39" s="73">
        <v>9</v>
      </c>
      <c r="G39" s="42"/>
      <c r="H39" s="5"/>
    </row>
    <row r="40" spans="1:8" ht="12.75">
      <c r="A40" s="4" t="s">
        <v>21</v>
      </c>
      <c r="B40" s="14" t="s">
        <v>138</v>
      </c>
      <c r="C40" s="244" t="s">
        <v>280</v>
      </c>
      <c r="D40" s="245"/>
      <c r="E40" s="14" t="s">
        <v>506</v>
      </c>
      <c r="F40" s="26">
        <v>5</v>
      </c>
      <c r="G40" s="78">
        <v>0</v>
      </c>
      <c r="H40" s="5"/>
    </row>
    <row r="41" spans="1:8" ht="12" customHeight="1">
      <c r="A41" s="5"/>
      <c r="C41" s="69" t="s">
        <v>11</v>
      </c>
      <c r="D41" s="261" t="s">
        <v>448</v>
      </c>
      <c r="E41" s="262"/>
      <c r="F41" s="73">
        <v>5</v>
      </c>
      <c r="G41" s="42"/>
      <c r="H41" s="5"/>
    </row>
    <row r="42" spans="1:8" ht="12.75">
      <c r="A42" s="4" t="s">
        <v>22</v>
      </c>
      <c r="B42" s="14" t="s">
        <v>139</v>
      </c>
      <c r="C42" s="244" t="s">
        <v>281</v>
      </c>
      <c r="D42" s="245"/>
      <c r="E42" s="14" t="s">
        <v>506</v>
      </c>
      <c r="F42" s="26">
        <v>3</v>
      </c>
      <c r="G42" s="78">
        <v>0</v>
      </c>
      <c r="H42" s="5"/>
    </row>
    <row r="43" spans="1:8" ht="12" customHeight="1">
      <c r="A43" s="5"/>
      <c r="C43" s="69" t="s">
        <v>9</v>
      </c>
      <c r="D43" s="261" t="s">
        <v>449</v>
      </c>
      <c r="E43" s="262"/>
      <c r="F43" s="73">
        <v>3</v>
      </c>
      <c r="G43" s="42"/>
      <c r="H43" s="5"/>
    </row>
    <row r="44" spans="1:8" ht="12.75">
      <c r="A44" s="4" t="s">
        <v>23</v>
      </c>
      <c r="B44" s="14" t="s">
        <v>140</v>
      </c>
      <c r="C44" s="244" t="s">
        <v>282</v>
      </c>
      <c r="D44" s="245"/>
      <c r="E44" s="14" t="s">
        <v>506</v>
      </c>
      <c r="F44" s="26">
        <v>4</v>
      </c>
      <c r="G44" s="78">
        <v>0</v>
      </c>
      <c r="H44" s="5"/>
    </row>
    <row r="45" spans="1:8" ht="12" customHeight="1">
      <c r="A45" s="5"/>
      <c r="C45" s="69" t="s">
        <v>10</v>
      </c>
      <c r="D45" s="261" t="s">
        <v>450</v>
      </c>
      <c r="E45" s="262"/>
      <c r="F45" s="73">
        <v>4</v>
      </c>
      <c r="G45" s="42"/>
      <c r="H45" s="5"/>
    </row>
    <row r="46" spans="1:8" ht="12.75">
      <c r="A46" s="4" t="s">
        <v>24</v>
      </c>
      <c r="B46" s="14" t="s">
        <v>141</v>
      </c>
      <c r="C46" s="244" t="s">
        <v>283</v>
      </c>
      <c r="D46" s="245"/>
      <c r="E46" s="14" t="s">
        <v>508</v>
      </c>
      <c r="F46" s="26">
        <v>27</v>
      </c>
      <c r="G46" s="78">
        <v>0</v>
      </c>
      <c r="H46" s="5"/>
    </row>
    <row r="47" spans="1:8" ht="12" customHeight="1">
      <c r="A47" s="5"/>
      <c r="C47" s="69" t="s">
        <v>284</v>
      </c>
      <c r="D47" s="261" t="s">
        <v>441</v>
      </c>
      <c r="E47" s="262"/>
      <c r="F47" s="73">
        <v>27</v>
      </c>
      <c r="G47" s="42"/>
      <c r="H47" s="5"/>
    </row>
    <row r="48" spans="1:8" ht="12.75">
      <c r="A48" s="4" t="s">
        <v>25</v>
      </c>
      <c r="B48" s="14" t="s">
        <v>142</v>
      </c>
      <c r="C48" s="244" t="s">
        <v>285</v>
      </c>
      <c r="D48" s="245"/>
      <c r="E48" s="14" t="s">
        <v>506</v>
      </c>
      <c r="F48" s="26">
        <v>4</v>
      </c>
      <c r="G48" s="78">
        <v>0</v>
      </c>
      <c r="H48" s="5"/>
    </row>
    <row r="49" spans="1:8" ht="12" customHeight="1">
      <c r="A49" s="5"/>
      <c r="C49" s="69" t="s">
        <v>10</v>
      </c>
      <c r="D49" s="261" t="s">
        <v>451</v>
      </c>
      <c r="E49" s="262"/>
      <c r="F49" s="73">
        <v>4</v>
      </c>
      <c r="G49" s="42"/>
      <c r="H49" s="5"/>
    </row>
    <row r="50" spans="1:8" ht="12.75">
      <c r="A50" s="4" t="s">
        <v>26</v>
      </c>
      <c r="B50" s="14" t="s">
        <v>143</v>
      </c>
      <c r="C50" s="244" t="s">
        <v>286</v>
      </c>
      <c r="D50" s="245"/>
      <c r="E50" s="14" t="s">
        <v>507</v>
      </c>
      <c r="F50" s="26">
        <v>0.03495</v>
      </c>
      <c r="G50" s="78">
        <v>0</v>
      </c>
      <c r="H50" s="5"/>
    </row>
    <row r="51" spans="1:8" ht="12.75">
      <c r="A51" s="4" t="s">
        <v>27</v>
      </c>
      <c r="B51" s="14" t="s">
        <v>145</v>
      </c>
      <c r="C51" s="244" t="s">
        <v>288</v>
      </c>
      <c r="D51" s="245"/>
      <c r="E51" s="14" t="s">
        <v>508</v>
      </c>
      <c r="F51" s="26">
        <v>33</v>
      </c>
      <c r="G51" s="78">
        <v>0</v>
      </c>
      <c r="H51" s="5"/>
    </row>
    <row r="52" spans="1:8" ht="12" customHeight="1">
      <c r="A52" s="5"/>
      <c r="C52" s="69" t="s">
        <v>289</v>
      </c>
      <c r="D52" s="261" t="s">
        <v>440</v>
      </c>
      <c r="E52" s="262"/>
      <c r="F52" s="73">
        <v>33</v>
      </c>
      <c r="G52" s="42"/>
      <c r="H52" s="5"/>
    </row>
    <row r="53" spans="1:8" ht="12.75">
      <c r="A53" s="4" t="s">
        <v>28</v>
      </c>
      <c r="B53" s="14" t="s">
        <v>146</v>
      </c>
      <c r="C53" s="244" t="s">
        <v>290</v>
      </c>
      <c r="D53" s="245"/>
      <c r="E53" s="14" t="s">
        <v>506</v>
      </c>
      <c r="F53" s="26">
        <v>2</v>
      </c>
      <c r="G53" s="78">
        <v>0</v>
      </c>
      <c r="H53" s="5"/>
    </row>
    <row r="54" spans="1:8" ht="12" customHeight="1">
      <c r="A54" s="5"/>
      <c r="C54" s="69" t="s">
        <v>8</v>
      </c>
      <c r="D54" s="261" t="s">
        <v>452</v>
      </c>
      <c r="E54" s="262"/>
      <c r="F54" s="73">
        <v>2</v>
      </c>
      <c r="G54" s="42"/>
      <c r="H54" s="5"/>
    </row>
    <row r="55" spans="1:8" ht="12.75">
      <c r="A55" s="4" t="s">
        <v>29</v>
      </c>
      <c r="B55" s="14" t="s">
        <v>147</v>
      </c>
      <c r="C55" s="244" t="s">
        <v>291</v>
      </c>
      <c r="D55" s="245"/>
      <c r="E55" s="14" t="s">
        <v>508</v>
      </c>
      <c r="F55" s="26">
        <v>18</v>
      </c>
      <c r="G55" s="78">
        <v>0</v>
      </c>
      <c r="H55" s="5"/>
    </row>
    <row r="56" spans="1:8" ht="12" customHeight="1">
      <c r="A56" s="5"/>
      <c r="C56" s="69" t="s">
        <v>292</v>
      </c>
      <c r="D56" s="261" t="s">
        <v>453</v>
      </c>
      <c r="E56" s="262"/>
      <c r="F56" s="73">
        <v>18</v>
      </c>
      <c r="G56" s="42"/>
      <c r="H56" s="5"/>
    </row>
    <row r="57" spans="1:8" ht="12.75">
      <c r="A57" s="4" t="s">
        <v>30</v>
      </c>
      <c r="B57" s="14" t="s">
        <v>148</v>
      </c>
      <c r="C57" s="244" t="s">
        <v>293</v>
      </c>
      <c r="D57" s="245"/>
      <c r="E57" s="14" t="s">
        <v>508</v>
      </c>
      <c r="F57" s="26">
        <v>15</v>
      </c>
      <c r="G57" s="78">
        <v>0</v>
      </c>
      <c r="H57" s="5"/>
    </row>
    <row r="58" spans="1:8" ht="12" customHeight="1">
      <c r="A58" s="5"/>
      <c r="C58" s="69" t="s">
        <v>294</v>
      </c>
      <c r="D58" s="261" t="s">
        <v>454</v>
      </c>
      <c r="E58" s="262"/>
      <c r="F58" s="73">
        <v>15</v>
      </c>
      <c r="G58" s="42"/>
      <c r="H58" s="5"/>
    </row>
    <row r="59" spans="1:8" ht="12.75">
      <c r="A59" s="4" t="s">
        <v>31</v>
      </c>
      <c r="B59" s="14" t="s">
        <v>149</v>
      </c>
      <c r="C59" s="244" t="s">
        <v>295</v>
      </c>
      <c r="D59" s="245"/>
      <c r="E59" s="14" t="s">
        <v>506</v>
      </c>
      <c r="F59" s="26">
        <v>16</v>
      </c>
      <c r="G59" s="78">
        <v>0</v>
      </c>
      <c r="H59" s="5"/>
    </row>
    <row r="60" spans="1:8" ht="12" customHeight="1">
      <c r="A60" s="5"/>
      <c r="C60" s="69" t="s">
        <v>296</v>
      </c>
      <c r="D60" s="261" t="s">
        <v>455</v>
      </c>
      <c r="E60" s="262"/>
      <c r="F60" s="73">
        <v>10</v>
      </c>
      <c r="G60" s="42"/>
      <c r="H60" s="5"/>
    </row>
    <row r="61" spans="1:8" ht="12" customHeight="1">
      <c r="A61" s="4"/>
      <c r="B61" s="14"/>
      <c r="C61" s="69" t="s">
        <v>9</v>
      </c>
      <c r="D61" s="261" t="s">
        <v>456</v>
      </c>
      <c r="E61" s="261"/>
      <c r="F61" s="73">
        <v>3</v>
      </c>
      <c r="G61" s="41"/>
      <c r="H61" s="5"/>
    </row>
    <row r="62" spans="1:8" ht="12" customHeight="1">
      <c r="A62" s="4"/>
      <c r="B62" s="14"/>
      <c r="C62" s="69" t="s">
        <v>9</v>
      </c>
      <c r="D62" s="261" t="s">
        <v>457</v>
      </c>
      <c r="E62" s="261"/>
      <c r="F62" s="73">
        <v>3</v>
      </c>
      <c r="G62" s="41"/>
      <c r="H62" s="5"/>
    </row>
    <row r="63" spans="1:8" ht="12.75">
      <c r="A63" s="4" t="s">
        <v>32</v>
      </c>
      <c r="B63" s="14" t="s">
        <v>150</v>
      </c>
      <c r="C63" s="244" t="s">
        <v>297</v>
      </c>
      <c r="D63" s="245"/>
      <c r="E63" s="14" t="s">
        <v>506</v>
      </c>
      <c r="F63" s="26">
        <v>6</v>
      </c>
      <c r="G63" s="78">
        <v>0</v>
      </c>
      <c r="H63" s="5"/>
    </row>
    <row r="64" spans="1:8" ht="12" customHeight="1">
      <c r="A64" s="5"/>
      <c r="C64" s="69" t="s">
        <v>8</v>
      </c>
      <c r="D64" s="261" t="s">
        <v>458</v>
      </c>
      <c r="E64" s="262"/>
      <c r="F64" s="73">
        <v>2</v>
      </c>
      <c r="G64" s="42"/>
      <c r="H64" s="5"/>
    </row>
    <row r="65" spans="1:8" ht="12" customHeight="1">
      <c r="A65" s="4"/>
      <c r="B65" s="14"/>
      <c r="C65" s="69" t="s">
        <v>8</v>
      </c>
      <c r="D65" s="261" t="s">
        <v>459</v>
      </c>
      <c r="E65" s="261"/>
      <c r="F65" s="73">
        <v>2</v>
      </c>
      <c r="G65" s="41"/>
      <c r="H65" s="5"/>
    </row>
    <row r="66" spans="1:8" ht="12" customHeight="1">
      <c r="A66" s="4"/>
      <c r="B66" s="14"/>
      <c r="C66" s="69" t="s">
        <v>8</v>
      </c>
      <c r="D66" s="261" t="s">
        <v>460</v>
      </c>
      <c r="E66" s="261"/>
      <c r="F66" s="73">
        <v>2</v>
      </c>
      <c r="G66" s="41"/>
      <c r="H66" s="5"/>
    </row>
    <row r="67" spans="1:8" ht="12.75">
      <c r="A67" s="4" t="s">
        <v>33</v>
      </c>
      <c r="B67" s="14" t="s">
        <v>151</v>
      </c>
      <c r="C67" s="244" t="s">
        <v>298</v>
      </c>
      <c r="D67" s="245"/>
      <c r="E67" s="14" t="s">
        <v>506</v>
      </c>
      <c r="F67" s="26">
        <v>13</v>
      </c>
      <c r="G67" s="78">
        <v>0</v>
      </c>
      <c r="H67" s="5"/>
    </row>
    <row r="68" spans="1:8" ht="12" customHeight="1">
      <c r="A68" s="5"/>
      <c r="C68" s="69" t="s">
        <v>15</v>
      </c>
      <c r="D68" s="261" t="s">
        <v>461</v>
      </c>
      <c r="E68" s="262"/>
      <c r="F68" s="73">
        <v>9</v>
      </c>
      <c r="G68" s="42"/>
      <c r="H68" s="5"/>
    </row>
    <row r="69" spans="1:8" ht="12" customHeight="1">
      <c r="A69" s="4"/>
      <c r="B69" s="14"/>
      <c r="C69" s="69" t="s">
        <v>10</v>
      </c>
      <c r="D69" s="261" t="s">
        <v>458</v>
      </c>
      <c r="E69" s="261"/>
      <c r="F69" s="73">
        <v>4</v>
      </c>
      <c r="G69" s="41"/>
      <c r="H69" s="5"/>
    </row>
    <row r="70" spans="1:8" ht="12.75">
      <c r="A70" s="4" t="s">
        <v>34</v>
      </c>
      <c r="B70" s="14" t="s">
        <v>152</v>
      </c>
      <c r="C70" s="244" t="s">
        <v>299</v>
      </c>
      <c r="D70" s="245"/>
      <c r="E70" s="14" t="s">
        <v>506</v>
      </c>
      <c r="F70" s="26">
        <v>2</v>
      </c>
      <c r="G70" s="78">
        <v>0</v>
      </c>
      <c r="H70" s="5"/>
    </row>
    <row r="71" spans="1:8" ht="12" customHeight="1">
      <c r="A71" s="5"/>
      <c r="C71" s="69" t="s">
        <v>8</v>
      </c>
      <c r="D71" s="261" t="s">
        <v>461</v>
      </c>
      <c r="E71" s="262"/>
      <c r="F71" s="73">
        <v>2</v>
      </c>
      <c r="G71" s="42"/>
      <c r="H71" s="5"/>
    </row>
    <row r="72" spans="1:8" ht="12.75">
      <c r="A72" s="4" t="s">
        <v>35</v>
      </c>
      <c r="B72" s="14" t="s">
        <v>153</v>
      </c>
      <c r="C72" s="244" t="s">
        <v>300</v>
      </c>
      <c r="D72" s="245"/>
      <c r="E72" s="14" t="s">
        <v>506</v>
      </c>
      <c r="F72" s="26">
        <v>138</v>
      </c>
      <c r="G72" s="78">
        <v>0</v>
      </c>
      <c r="H72" s="5"/>
    </row>
    <row r="73" spans="1:8" ht="12" customHeight="1">
      <c r="A73" s="5"/>
      <c r="C73" s="69" t="s">
        <v>301</v>
      </c>
      <c r="D73" s="261" t="s">
        <v>455</v>
      </c>
      <c r="E73" s="262"/>
      <c r="F73" s="73">
        <v>82</v>
      </c>
      <c r="G73" s="42"/>
      <c r="H73" s="5"/>
    </row>
    <row r="74" spans="1:8" ht="12" customHeight="1">
      <c r="A74" s="4"/>
      <c r="B74" s="14"/>
      <c r="C74" s="69" t="s">
        <v>302</v>
      </c>
      <c r="D74" s="261" t="s">
        <v>456</v>
      </c>
      <c r="E74" s="261"/>
      <c r="F74" s="73">
        <v>27</v>
      </c>
      <c r="G74" s="41"/>
      <c r="H74" s="5"/>
    </row>
    <row r="75" spans="1:8" ht="12" customHeight="1">
      <c r="A75" s="4"/>
      <c r="B75" s="14"/>
      <c r="C75" s="69" t="s">
        <v>303</v>
      </c>
      <c r="D75" s="261" t="s">
        <v>462</v>
      </c>
      <c r="E75" s="261"/>
      <c r="F75" s="73">
        <v>12</v>
      </c>
      <c r="G75" s="41"/>
      <c r="H75" s="5"/>
    </row>
    <row r="76" spans="1:8" ht="12" customHeight="1">
      <c r="A76" s="4"/>
      <c r="B76" s="14"/>
      <c r="C76" s="69" t="s">
        <v>304</v>
      </c>
      <c r="D76" s="261" t="s">
        <v>457</v>
      </c>
      <c r="E76" s="261"/>
      <c r="F76" s="73">
        <v>12</v>
      </c>
      <c r="G76" s="41"/>
      <c r="H76" s="5"/>
    </row>
    <row r="77" spans="1:8" ht="12" customHeight="1">
      <c r="A77" s="4"/>
      <c r="B77" s="14"/>
      <c r="C77" s="69" t="s">
        <v>7</v>
      </c>
      <c r="D77" s="261" t="s">
        <v>463</v>
      </c>
      <c r="E77" s="261"/>
      <c r="F77" s="73">
        <v>1</v>
      </c>
      <c r="G77" s="41"/>
      <c r="H77" s="5"/>
    </row>
    <row r="78" spans="1:8" ht="12" customHeight="1">
      <c r="A78" s="4"/>
      <c r="B78" s="14"/>
      <c r="C78" s="69" t="s">
        <v>8</v>
      </c>
      <c r="D78" s="261" t="s">
        <v>464</v>
      </c>
      <c r="E78" s="261"/>
      <c r="F78" s="73">
        <v>2</v>
      </c>
      <c r="G78" s="41"/>
      <c r="H78" s="5"/>
    </row>
    <row r="79" spans="1:8" ht="12" customHeight="1">
      <c r="A79" s="4"/>
      <c r="B79" s="14"/>
      <c r="C79" s="69" t="s">
        <v>8</v>
      </c>
      <c r="D79" s="261" t="s">
        <v>465</v>
      </c>
      <c r="E79" s="261"/>
      <c r="F79" s="73">
        <v>2</v>
      </c>
      <c r="G79" s="41"/>
      <c r="H79" s="5"/>
    </row>
    <row r="80" spans="1:8" ht="12.75">
      <c r="A80" s="4" t="s">
        <v>36</v>
      </c>
      <c r="B80" s="14" t="s">
        <v>154</v>
      </c>
      <c r="C80" s="244" t="s">
        <v>305</v>
      </c>
      <c r="D80" s="245"/>
      <c r="E80" s="14" t="s">
        <v>506</v>
      </c>
      <c r="F80" s="26">
        <v>3</v>
      </c>
      <c r="G80" s="78">
        <v>0</v>
      </c>
      <c r="H80" s="5"/>
    </row>
    <row r="81" spans="1:8" ht="12" customHeight="1">
      <c r="A81" s="5"/>
      <c r="C81" s="69" t="s">
        <v>8</v>
      </c>
      <c r="D81" s="261" t="s">
        <v>466</v>
      </c>
      <c r="E81" s="262"/>
      <c r="F81" s="73">
        <v>2</v>
      </c>
      <c r="G81" s="42"/>
      <c r="H81" s="5"/>
    </row>
    <row r="82" spans="1:8" ht="12" customHeight="1">
      <c r="A82" s="4"/>
      <c r="B82" s="14"/>
      <c r="C82" s="69" t="s">
        <v>7</v>
      </c>
      <c r="D82" s="261" t="s">
        <v>461</v>
      </c>
      <c r="E82" s="261"/>
      <c r="F82" s="73">
        <v>1</v>
      </c>
      <c r="G82" s="41"/>
      <c r="H82" s="5"/>
    </row>
    <row r="83" spans="1:8" ht="12.75">
      <c r="A83" s="4" t="s">
        <v>37</v>
      </c>
      <c r="B83" s="14" t="s">
        <v>155</v>
      </c>
      <c r="C83" s="244" t="s">
        <v>306</v>
      </c>
      <c r="D83" s="245"/>
      <c r="E83" s="14" t="s">
        <v>508</v>
      </c>
      <c r="F83" s="26">
        <v>384.8</v>
      </c>
      <c r="G83" s="78">
        <v>0</v>
      </c>
      <c r="H83" s="5"/>
    </row>
    <row r="84" spans="1:8" ht="12" customHeight="1">
      <c r="A84" s="5"/>
      <c r="C84" s="69" t="s">
        <v>307</v>
      </c>
      <c r="D84" s="261" t="s">
        <v>467</v>
      </c>
      <c r="E84" s="262"/>
      <c r="F84" s="73">
        <v>384.8</v>
      </c>
      <c r="G84" s="42"/>
      <c r="H84" s="5"/>
    </row>
    <row r="85" spans="1:8" ht="12.75">
      <c r="A85" s="4" t="s">
        <v>38</v>
      </c>
      <c r="B85" s="14" t="s">
        <v>156</v>
      </c>
      <c r="C85" s="244" t="s">
        <v>308</v>
      </c>
      <c r="D85" s="245"/>
      <c r="E85" s="14" t="s">
        <v>508</v>
      </c>
      <c r="F85" s="26">
        <v>326</v>
      </c>
      <c r="G85" s="78">
        <v>0</v>
      </c>
      <c r="H85" s="5"/>
    </row>
    <row r="86" spans="1:8" ht="12" customHeight="1">
      <c r="A86" s="5"/>
      <c r="C86" s="69" t="s">
        <v>309</v>
      </c>
      <c r="D86" s="261" t="s">
        <v>468</v>
      </c>
      <c r="E86" s="262"/>
      <c r="F86" s="73">
        <v>236.6</v>
      </c>
      <c r="G86" s="42"/>
      <c r="H86" s="5"/>
    </row>
    <row r="87" spans="1:8" ht="12" customHeight="1">
      <c r="A87" s="4"/>
      <c r="B87" s="14"/>
      <c r="C87" s="69" t="s">
        <v>310</v>
      </c>
      <c r="D87" s="261" t="s">
        <v>469</v>
      </c>
      <c r="E87" s="261"/>
      <c r="F87" s="73">
        <v>89.4</v>
      </c>
      <c r="G87" s="41"/>
      <c r="H87" s="5"/>
    </row>
    <row r="88" spans="1:8" ht="12.75">
      <c r="A88" s="4" t="s">
        <v>39</v>
      </c>
      <c r="B88" s="14" t="s">
        <v>157</v>
      </c>
      <c r="C88" s="244" t="s">
        <v>311</v>
      </c>
      <c r="D88" s="245"/>
      <c r="E88" s="14" t="s">
        <v>508</v>
      </c>
      <c r="F88" s="26">
        <v>38</v>
      </c>
      <c r="G88" s="78">
        <v>0</v>
      </c>
      <c r="H88" s="5"/>
    </row>
    <row r="89" spans="1:8" ht="12" customHeight="1">
      <c r="A89" s="5"/>
      <c r="C89" s="69" t="s">
        <v>44</v>
      </c>
      <c r="D89" s="261" t="s">
        <v>468</v>
      </c>
      <c r="E89" s="262"/>
      <c r="F89" s="73">
        <v>38</v>
      </c>
      <c r="G89" s="42"/>
      <c r="H89" s="5"/>
    </row>
    <row r="90" spans="1:8" ht="12.75">
      <c r="A90" s="4" t="s">
        <v>40</v>
      </c>
      <c r="B90" s="14" t="s">
        <v>158</v>
      </c>
      <c r="C90" s="244" t="s">
        <v>312</v>
      </c>
      <c r="D90" s="245"/>
      <c r="E90" s="14" t="s">
        <v>508</v>
      </c>
      <c r="F90" s="26">
        <v>20.8</v>
      </c>
      <c r="G90" s="78">
        <v>0</v>
      </c>
      <c r="H90" s="5"/>
    </row>
    <row r="91" spans="1:8" ht="12" customHeight="1">
      <c r="A91" s="5"/>
      <c r="C91" s="69" t="s">
        <v>313</v>
      </c>
      <c r="D91" s="261" t="s">
        <v>468</v>
      </c>
      <c r="E91" s="262"/>
      <c r="F91" s="73">
        <v>20.8</v>
      </c>
      <c r="G91" s="42"/>
      <c r="H91" s="5"/>
    </row>
    <row r="92" spans="1:8" ht="12.75">
      <c r="A92" s="4" t="s">
        <v>41</v>
      </c>
      <c r="B92" s="14" t="s">
        <v>159</v>
      </c>
      <c r="C92" s="244" t="s">
        <v>314</v>
      </c>
      <c r="D92" s="245"/>
      <c r="E92" s="14" t="s">
        <v>506</v>
      </c>
      <c r="F92" s="26">
        <v>137</v>
      </c>
      <c r="G92" s="78">
        <v>0</v>
      </c>
      <c r="H92" s="5"/>
    </row>
    <row r="93" spans="1:8" ht="12" customHeight="1">
      <c r="A93" s="5"/>
      <c r="C93" s="69" t="s">
        <v>301</v>
      </c>
      <c r="D93" s="261" t="s">
        <v>455</v>
      </c>
      <c r="E93" s="262"/>
      <c r="F93" s="73">
        <v>82</v>
      </c>
      <c r="G93" s="42"/>
      <c r="H93" s="5"/>
    </row>
    <row r="94" spans="1:8" ht="12" customHeight="1">
      <c r="A94" s="4"/>
      <c r="B94" s="14"/>
      <c r="C94" s="69" t="s">
        <v>302</v>
      </c>
      <c r="D94" s="261" t="s">
        <v>456</v>
      </c>
      <c r="E94" s="261"/>
      <c r="F94" s="73">
        <v>27</v>
      </c>
      <c r="G94" s="41"/>
      <c r="H94" s="5"/>
    </row>
    <row r="95" spans="1:8" ht="12" customHeight="1">
      <c r="A95" s="4"/>
      <c r="B95" s="14"/>
      <c r="C95" s="69" t="s">
        <v>303</v>
      </c>
      <c r="D95" s="261" t="s">
        <v>462</v>
      </c>
      <c r="E95" s="261"/>
      <c r="F95" s="73">
        <v>12</v>
      </c>
      <c r="G95" s="41"/>
      <c r="H95" s="5"/>
    </row>
    <row r="96" spans="1:8" ht="12" customHeight="1">
      <c r="A96" s="4"/>
      <c r="B96" s="14"/>
      <c r="C96" s="69" t="s">
        <v>304</v>
      </c>
      <c r="D96" s="261" t="s">
        <v>457</v>
      </c>
      <c r="E96" s="261"/>
      <c r="F96" s="73">
        <v>12</v>
      </c>
      <c r="G96" s="41"/>
      <c r="H96" s="5"/>
    </row>
    <row r="97" spans="1:8" ht="12" customHeight="1">
      <c r="A97" s="4"/>
      <c r="B97" s="14"/>
      <c r="C97" s="69" t="s">
        <v>8</v>
      </c>
      <c r="D97" s="261" t="s">
        <v>464</v>
      </c>
      <c r="E97" s="261"/>
      <c r="F97" s="73">
        <v>2</v>
      </c>
      <c r="G97" s="41"/>
      <c r="H97" s="5"/>
    </row>
    <row r="98" spans="1:8" ht="12" customHeight="1">
      <c r="A98" s="4"/>
      <c r="B98" s="14"/>
      <c r="C98" s="69" t="s">
        <v>8</v>
      </c>
      <c r="D98" s="261" t="s">
        <v>465</v>
      </c>
      <c r="E98" s="261"/>
      <c r="F98" s="73">
        <v>2</v>
      </c>
      <c r="G98" s="41"/>
      <c r="H98" s="5"/>
    </row>
    <row r="99" spans="1:8" ht="12.75">
      <c r="A99" s="4" t="s">
        <v>42</v>
      </c>
      <c r="B99" s="14" t="s">
        <v>160</v>
      </c>
      <c r="C99" s="244" t="s">
        <v>315</v>
      </c>
      <c r="D99" s="245"/>
      <c r="E99" s="14" t="s">
        <v>506</v>
      </c>
      <c r="F99" s="26">
        <v>1</v>
      </c>
      <c r="G99" s="78">
        <v>0</v>
      </c>
      <c r="H99" s="5"/>
    </row>
    <row r="100" spans="1:8" ht="12" customHeight="1">
      <c r="A100" s="5"/>
      <c r="C100" s="69" t="s">
        <v>7</v>
      </c>
      <c r="D100" s="261" t="s">
        <v>461</v>
      </c>
      <c r="E100" s="262"/>
      <c r="F100" s="73">
        <v>1</v>
      </c>
      <c r="G100" s="42"/>
      <c r="H100" s="5"/>
    </row>
    <row r="101" spans="1:8" ht="12.75">
      <c r="A101" s="4" t="s">
        <v>43</v>
      </c>
      <c r="B101" s="14" t="s">
        <v>145</v>
      </c>
      <c r="C101" s="244" t="s">
        <v>316</v>
      </c>
      <c r="D101" s="245"/>
      <c r="E101" s="14" t="s">
        <v>508</v>
      </c>
      <c r="F101" s="26">
        <v>89.4</v>
      </c>
      <c r="G101" s="78">
        <v>0</v>
      </c>
      <c r="H101" s="5"/>
    </row>
    <row r="102" spans="1:8" ht="12" customHeight="1">
      <c r="A102" s="5"/>
      <c r="C102" s="69" t="s">
        <v>317</v>
      </c>
      <c r="D102" s="261" t="s">
        <v>461</v>
      </c>
      <c r="E102" s="262"/>
      <c r="F102" s="73">
        <v>10.6</v>
      </c>
      <c r="G102" s="42"/>
      <c r="H102" s="5"/>
    </row>
    <row r="103" spans="1:8" ht="12" customHeight="1">
      <c r="A103" s="4"/>
      <c r="B103" s="14"/>
      <c r="C103" s="69" t="s">
        <v>318</v>
      </c>
      <c r="D103" s="261" t="s">
        <v>458</v>
      </c>
      <c r="E103" s="261"/>
      <c r="F103" s="73">
        <v>16.6</v>
      </c>
      <c r="G103" s="41"/>
      <c r="H103" s="5"/>
    </row>
    <row r="104" spans="1:8" ht="12" customHeight="1">
      <c r="A104" s="4"/>
      <c r="B104" s="14"/>
      <c r="C104" s="69" t="s">
        <v>319</v>
      </c>
      <c r="D104" s="261" t="s">
        <v>459</v>
      </c>
      <c r="E104" s="261"/>
      <c r="F104" s="73">
        <v>18.2</v>
      </c>
      <c r="G104" s="41"/>
      <c r="H104" s="5"/>
    </row>
    <row r="105" spans="1:8" ht="12" customHeight="1">
      <c r="A105" s="4"/>
      <c r="B105" s="14"/>
      <c r="C105" s="69" t="s">
        <v>320</v>
      </c>
      <c r="D105" s="261" t="s">
        <v>460</v>
      </c>
      <c r="E105" s="261"/>
      <c r="F105" s="73">
        <v>12</v>
      </c>
      <c r="G105" s="41"/>
      <c r="H105" s="5"/>
    </row>
    <row r="106" spans="1:8" ht="12" customHeight="1">
      <c r="A106" s="4"/>
      <c r="B106" s="14"/>
      <c r="C106" s="69" t="s">
        <v>321</v>
      </c>
      <c r="D106" s="261" t="s">
        <v>470</v>
      </c>
      <c r="E106" s="261"/>
      <c r="F106" s="73">
        <v>32</v>
      </c>
      <c r="G106" s="41"/>
      <c r="H106" s="5"/>
    </row>
    <row r="107" spans="1:8" ht="12.75">
      <c r="A107" s="4" t="s">
        <v>44</v>
      </c>
      <c r="B107" s="14" t="s">
        <v>161</v>
      </c>
      <c r="C107" s="244" t="s">
        <v>322</v>
      </c>
      <c r="D107" s="245"/>
      <c r="E107" s="14" t="s">
        <v>508</v>
      </c>
      <c r="F107" s="26">
        <v>213.9</v>
      </c>
      <c r="G107" s="78">
        <v>0</v>
      </c>
      <c r="H107" s="5"/>
    </row>
    <row r="108" spans="1:8" ht="12" customHeight="1">
      <c r="A108" s="5"/>
      <c r="C108" s="69" t="s">
        <v>323</v>
      </c>
      <c r="D108" s="261" t="s">
        <v>471</v>
      </c>
      <c r="E108" s="262"/>
      <c r="F108" s="73">
        <v>213.9</v>
      </c>
      <c r="G108" s="42"/>
      <c r="H108" s="5"/>
    </row>
    <row r="109" spans="1:8" ht="12.75">
      <c r="A109" s="4" t="s">
        <v>45</v>
      </c>
      <c r="B109" s="14" t="s">
        <v>162</v>
      </c>
      <c r="C109" s="244" t="s">
        <v>324</v>
      </c>
      <c r="D109" s="245"/>
      <c r="E109" s="14" t="s">
        <v>508</v>
      </c>
      <c r="F109" s="26">
        <v>20.8</v>
      </c>
      <c r="G109" s="78">
        <v>0</v>
      </c>
      <c r="H109" s="5"/>
    </row>
    <row r="110" spans="1:8" ht="12" customHeight="1">
      <c r="A110" s="5"/>
      <c r="C110" s="69" t="s">
        <v>325</v>
      </c>
      <c r="D110" s="261" t="s">
        <v>461</v>
      </c>
      <c r="E110" s="262"/>
      <c r="F110" s="73">
        <v>4.8</v>
      </c>
      <c r="G110" s="42"/>
      <c r="H110" s="5"/>
    </row>
    <row r="111" spans="1:8" ht="12" customHeight="1">
      <c r="A111" s="4"/>
      <c r="B111" s="14"/>
      <c r="C111" s="69" t="s">
        <v>326</v>
      </c>
      <c r="D111" s="261" t="s">
        <v>472</v>
      </c>
      <c r="E111" s="261"/>
      <c r="F111" s="73">
        <v>16</v>
      </c>
      <c r="G111" s="41"/>
      <c r="H111" s="5"/>
    </row>
    <row r="112" spans="1:8" ht="12.75">
      <c r="A112" s="4" t="s">
        <v>46</v>
      </c>
      <c r="B112" s="14" t="s">
        <v>163</v>
      </c>
      <c r="C112" s="244" t="s">
        <v>327</v>
      </c>
      <c r="D112" s="245"/>
      <c r="E112" s="14" t="s">
        <v>508</v>
      </c>
      <c r="F112" s="26">
        <v>38</v>
      </c>
      <c r="G112" s="78">
        <v>0</v>
      </c>
      <c r="H112" s="5"/>
    </row>
    <row r="113" spans="1:8" ht="12" customHeight="1">
      <c r="A113" s="5"/>
      <c r="C113" s="69" t="s">
        <v>44</v>
      </c>
      <c r="D113" s="261" t="s">
        <v>461</v>
      </c>
      <c r="E113" s="262"/>
      <c r="F113" s="73">
        <v>38</v>
      </c>
      <c r="G113" s="42"/>
      <c r="H113" s="5"/>
    </row>
    <row r="114" spans="1:8" ht="12.75">
      <c r="A114" s="4" t="s">
        <v>47</v>
      </c>
      <c r="B114" s="14" t="s">
        <v>164</v>
      </c>
      <c r="C114" s="244" t="s">
        <v>328</v>
      </c>
      <c r="D114" s="245"/>
      <c r="E114" s="14" t="s">
        <v>506</v>
      </c>
      <c r="F114" s="26">
        <v>2</v>
      </c>
      <c r="G114" s="78">
        <v>0</v>
      </c>
      <c r="H114" s="5"/>
    </row>
    <row r="115" spans="1:8" ht="12" customHeight="1">
      <c r="A115" s="5"/>
      <c r="C115" s="69" t="s">
        <v>8</v>
      </c>
      <c r="D115" s="261" t="s">
        <v>461</v>
      </c>
      <c r="E115" s="262"/>
      <c r="F115" s="73">
        <v>2</v>
      </c>
      <c r="G115" s="42"/>
      <c r="H115" s="5"/>
    </row>
    <row r="116" spans="1:8" ht="12.75">
      <c r="A116" s="4" t="s">
        <v>48</v>
      </c>
      <c r="B116" s="14" t="s">
        <v>165</v>
      </c>
      <c r="C116" s="244" t="s">
        <v>329</v>
      </c>
      <c r="D116" s="245"/>
      <c r="E116" s="14" t="s">
        <v>506</v>
      </c>
      <c r="F116" s="26">
        <v>1</v>
      </c>
      <c r="G116" s="78">
        <v>0</v>
      </c>
      <c r="H116" s="5"/>
    </row>
    <row r="117" spans="1:8" ht="12" customHeight="1">
      <c r="A117" s="5"/>
      <c r="C117" s="69" t="s">
        <v>7</v>
      </c>
      <c r="D117" s="261" t="s">
        <v>461</v>
      </c>
      <c r="E117" s="262"/>
      <c r="F117" s="73">
        <v>1</v>
      </c>
      <c r="G117" s="42"/>
      <c r="H117" s="5"/>
    </row>
    <row r="118" spans="1:8" ht="12.75">
      <c r="A118" s="4" t="s">
        <v>49</v>
      </c>
      <c r="B118" s="14" t="s">
        <v>166</v>
      </c>
      <c r="C118" s="244" t="s">
        <v>330</v>
      </c>
      <c r="D118" s="245"/>
      <c r="E118" s="14" t="s">
        <v>506</v>
      </c>
      <c r="F118" s="26">
        <v>16</v>
      </c>
      <c r="G118" s="78">
        <v>0</v>
      </c>
      <c r="H118" s="5"/>
    </row>
    <row r="119" spans="1:8" ht="12" customHeight="1">
      <c r="A119" s="5"/>
      <c r="C119" s="69" t="s">
        <v>296</v>
      </c>
      <c r="D119" s="261" t="s">
        <v>473</v>
      </c>
      <c r="E119" s="262"/>
      <c r="F119" s="73">
        <v>10</v>
      </c>
      <c r="G119" s="42"/>
      <c r="H119" s="5"/>
    </row>
    <row r="120" spans="1:8" ht="12" customHeight="1">
      <c r="A120" s="4"/>
      <c r="B120" s="14"/>
      <c r="C120" s="69" t="s">
        <v>9</v>
      </c>
      <c r="D120" s="261" t="s">
        <v>474</v>
      </c>
      <c r="E120" s="261"/>
      <c r="F120" s="73">
        <v>3</v>
      </c>
      <c r="G120" s="41"/>
      <c r="H120" s="5"/>
    </row>
    <row r="121" spans="1:8" ht="12" customHeight="1">
      <c r="A121" s="4"/>
      <c r="B121" s="14"/>
      <c r="C121" s="69" t="s">
        <v>9</v>
      </c>
      <c r="D121" s="261" t="s">
        <v>475</v>
      </c>
      <c r="E121" s="261"/>
      <c r="F121" s="73">
        <v>3</v>
      </c>
      <c r="G121" s="41"/>
      <c r="H121" s="5"/>
    </row>
    <row r="122" spans="1:8" ht="12.75">
      <c r="A122" s="4" t="s">
        <v>50</v>
      </c>
      <c r="B122" s="14" t="s">
        <v>167</v>
      </c>
      <c r="C122" s="244" t="s">
        <v>331</v>
      </c>
      <c r="D122" s="245"/>
      <c r="E122" s="14" t="s">
        <v>507</v>
      </c>
      <c r="F122" s="26">
        <v>1.17564</v>
      </c>
      <c r="G122" s="78">
        <v>0</v>
      </c>
      <c r="H122" s="5"/>
    </row>
    <row r="123" spans="1:8" ht="12.75">
      <c r="A123" s="4" t="s">
        <v>51</v>
      </c>
      <c r="B123" s="14" t="s">
        <v>169</v>
      </c>
      <c r="C123" s="244" t="s">
        <v>333</v>
      </c>
      <c r="D123" s="245"/>
      <c r="E123" s="14" t="s">
        <v>509</v>
      </c>
      <c r="F123" s="26">
        <v>4</v>
      </c>
      <c r="G123" s="78">
        <v>0</v>
      </c>
      <c r="H123" s="5"/>
    </row>
    <row r="124" spans="1:8" ht="12" customHeight="1">
      <c r="A124" s="5"/>
      <c r="C124" s="69" t="s">
        <v>10</v>
      </c>
      <c r="D124" s="261" t="s">
        <v>476</v>
      </c>
      <c r="E124" s="262"/>
      <c r="F124" s="73">
        <v>4</v>
      </c>
      <c r="G124" s="42"/>
      <c r="H124" s="5"/>
    </row>
    <row r="125" spans="1:8" ht="12.75">
      <c r="A125" s="4" t="s">
        <v>52</v>
      </c>
      <c r="B125" s="14" t="s">
        <v>170</v>
      </c>
      <c r="C125" s="244" t="s">
        <v>334</v>
      </c>
      <c r="D125" s="245"/>
      <c r="E125" s="14" t="s">
        <v>509</v>
      </c>
      <c r="F125" s="26">
        <v>4</v>
      </c>
      <c r="G125" s="78">
        <v>0</v>
      </c>
      <c r="H125" s="5"/>
    </row>
    <row r="126" spans="1:8" ht="12" customHeight="1">
      <c r="A126" s="5"/>
      <c r="C126" s="69" t="s">
        <v>10</v>
      </c>
      <c r="D126" s="261" t="s">
        <v>477</v>
      </c>
      <c r="E126" s="262"/>
      <c r="F126" s="73">
        <v>4</v>
      </c>
      <c r="G126" s="42"/>
      <c r="H126" s="5"/>
    </row>
    <row r="127" spans="1:8" ht="12.75">
      <c r="A127" s="4" t="s">
        <v>53</v>
      </c>
      <c r="B127" s="14" t="s">
        <v>171</v>
      </c>
      <c r="C127" s="244" t="s">
        <v>335</v>
      </c>
      <c r="D127" s="245"/>
      <c r="E127" s="14" t="s">
        <v>509</v>
      </c>
      <c r="F127" s="26">
        <v>1</v>
      </c>
      <c r="G127" s="78">
        <v>0</v>
      </c>
      <c r="H127" s="5"/>
    </row>
    <row r="128" spans="1:8" ht="12" customHeight="1">
      <c r="A128" s="5"/>
      <c r="C128" s="69" t="s">
        <v>7</v>
      </c>
      <c r="D128" s="261" t="s">
        <v>477</v>
      </c>
      <c r="E128" s="262"/>
      <c r="F128" s="73">
        <v>1</v>
      </c>
      <c r="G128" s="42"/>
      <c r="H128" s="5"/>
    </row>
    <row r="129" spans="1:8" ht="12.75">
      <c r="A129" s="4" t="s">
        <v>54</v>
      </c>
      <c r="B129" s="14" t="s">
        <v>172</v>
      </c>
      <c r="C129" s="244" t="s">
        <v>336</v>
      </c>
      <c r="D129" s="245"/>
      <c r="E129" s="14" t="s">
        <v>509</v>
      </c>
      <c r="F129" s="26">
        <v>3</v>
      </c>
      <c r="G129" s="78">
        <v>0</v>
      </c>
      <c r="H129" s="5"/>
    </row>
    <row r="130" spans="1:8" ht="12" customHeight="1">
      <c r="A130" s="5"/>
      <c r="C130" s="69" t="s">
        <v>9</v>
      </c>
      <c r="D130" s="261" t="s">
        <v>477</v>
      </c>
      <c r="E130" s="262"/>
      <c r="F130" s="73">
        <v>3</v>
      </c>
      <c r="G130" s="42"/>
      <c r="H130" s="5"/>
    </row>
    <row r="131" spans="1:8" ht="12.75">
      <c r="A131" s="4" t="s">
        <v>55</v>
      </c>
      <c r="B131" s="14" t="s">
        <v>173</v>
      </c>
      <c r="C131" s="244" t="s">
        <v>337</v>
      </c>
      <c r="D131" s="245"/>
      <c r="E131" s="14" t="s">
        <v>509</v>
      </c>
      <c r="F131" s="26">
        <v>3</v>
      </c>
      <c r="G131" s="78">
        <v>0</v>
      </c>
      <c r="H131" s="5"/>
    </row>
    <row r="132" spans="1:8" ht="12" customHeight="1">
      <c r="A132" s="5"/>
      <c r="C132" s="69" t="s">
        <v>9</v>
      </c>
      <c r="D132" s="261" t="s">
        <v>477</v>
      </c>
      <c r="E132" s="262"/>
      <c r="F132" s="73">
        <v>3</v>
      </c>
      <c r="G132" s="42"/>
      <c r="H132" s="5"/>
    </row>
    <row r="133" spans="1:8" ht="12.75">
      <c r="A133" s="4" t="s">
        <v>56</v>
      </c>
      <c r="B133" s="14" t="s">
        <v>174</v>
      </c>
      <c r="C133" s="244" t="s">
        <v>338</v>
      </c>
      <c r="D133" s="245"/>
      <c r="E133" s="14" t="s">
        <v>506</v>
      </c>
      <c r="F133" s="26">
        <v>5</v>
      </c>
      <c r="G133" s="78">
        <v>0</v>
      </c>
      <c r="H133" s="5"/>
    </row>
    <row r="134" spans="1:8" ht="12" customHeight="1">
      <c r="A134" s="5"/>
      <c r="C134" s="69" t="s">
        <v>11</v>
      </c>
      <c r="D134" s="261" t="s">
        <v>477</v>
      </c>
      <c r="E134" s="262"/>
      <c r="F134" s="73">
        <v>5</v>
      </c>
      <c r="G134" s="42"/>
      <c r="H134" s="5"/>
    </row>
    <row r="135" spans="1:8" ht="12.75">
      <c r="A135" s="4" t="s">
        <v>57</v>
      </c>
      <c r="B135" s="14" t="s">
        <v>175</v>
      </c>
      <c r="C135" s="244" t="s">
        <v>339</v>
      </c>
      <c r="D135" s="245"/>
      <c r="E135" s="14" t="s">
        <v>506</v>
      </c>
      <c r="F135" s="26">
        <v>4</v>
      </c>
      <c r="G135" s="78">
        <v>0</v>
      </c>
      <c r="H135" s="5"/>
    </row>
    <row r="136" spans="1:8" ht="12" customHeight="1">
      <c r="A136" s="5"/>
      <c r="C136" s="69" t="s">
        <v>10</v>
      </c>
      <c r="D136" s="261" t="s">
        <v>477</v>
      </c>
      <c r="E136" s="262"/>
      <c r="F136" s="73">
        <v>4</v>
      </c>
      <c r="G136" s="42"/>
      <c r="H136" s="5"/>
    </row>
    <row r="137" spans="1:8" ht="12.75">
      <c r="A137" s="7" t="s">
        <v>58</v>
      </c>
      <c r="B137" s="16" t="s">
        <v>176</v>
      </c>
      <c r="C137" s="247" t="s">
        <v>340</v>
      </c>
      <c r="D137" s="248"/>
      <c r="E137" s="16" t="s">
        <v>510</v>
      </c>
      <c r="F137" s="28">
        <v>1</v>
      </c>
      <c r="G137" s="79">
        <v>0</v>
      </c>
      <c r="H137" s="5"/>
    </row>
    <row r="138" spans="1:8" ht="12" customHeight="1">
      <c r="A138" s="5"/>
      <c r="C138" s="69" t="s">
        <v>7</v>
      </c>
      <c r="D138" s="261" t="s">
        <v>477</v>
      </c>
      <c r="E138" s="262"/>
      <c r="F138" s="74">
        <v>1</v>
      </c>
      <c r="G138" s="42"/>
      <c r="H138" s="5"/>
    </row>
    <row r="139" spans="1:8" ht="12.75">
      <c r="A139" s="7" t="s">
        <v>59</v>
      </c>
      <c r="B139" s="16" t="s">
        <v>177</v>
      </c>
      <c r="C139" s="247" t="s">
        <v>341</v>
      </c>
      <c r="D139" s="248"/>
      <c r="E139" s="16" t="s">
        <v>510</v>
      </c>
      <c r="F139" s="28">
        <v>3</v>
      </c>
      <c r="G139" s="79">
        <v>0</v>
      </c>
      <c r="H139" s="5"/>
    </row>
    <row r="140" spans="1:8" ht="12" customHeight="1">
      <c r="A140" s="5"/>
      <c r="C140" s="69" t="s">
        <v>9</v>
      </c>
      <c r="D140" s="261" t="s">
        <v>477</v>
      </c>
      <c r="E140" s="262"/>
      <c r="F140" s="74">
        <v>3</v>
      </c>
      <c r="G140" s="42"/>
      <c r="H140" s="5"/>
    </row>
    <row r="141" spans="1:8" ht="12.75">
      <c r="A141" s="7" t="s">
        <v>60</v>
      </c>
      <c r="B141" s="16" t="s">
        <v>178</v>
      </c>
      <c r="C141" s="247" t="s">
        <v>342</v>
      </c>
      <c r="D141" s="248"/>
      <c r="E141" s="16" t="s">
        <v>510</v>
      </c>
      <c r="F141" s="28">
        <v>5</v>
      </c>
      <c r="G141" s="79">
        <v>0</v>
      </c>
      <c r="H141" s="5"/>
    </row>
    <row r="142" spans="1:8" ht="12" customHeight="1">
      <c r="A142" s="5"/>
      <c r="C142" s="69" t="s">
        <v>11</v>
      </c>
      <c r="D142" s="261" t="s">
        <v>477</v>
      </c>
      <c r="E142" s="262"/>
      <c r="F142" s="74">
        <v>5</v>
      </c>
      <c r="G142" s="42"/>
      <c r="H142" s="5"/>
    </row>
    <row r="143" spans="1:8" ht="12.75">
      <c r="A143" s="7" t="s">
        <v>61</v>
      </c>
      <c r="B143" s="16" t="s">
        <v>179</v>
      </c>
      <c r="C143" s="247" t="s">
        <v>343</v>
      </c>
      <c r="D143" s="248"/>
      <c r="E143" s="16" t="s">
        <v>510</v>
      </c>
      <c r="F143" s="28">
        <v>3</v>
      </c>
      <c r="G143" s="79">
        <v>0</v>
      </c>
      <c r="H143" s="5"/>
    </row>
    <row r="144" spans="1:8" ht="12" customHeight="1">
      <c r="A144" s="5"/>
      <c r="C144" s="69" t="s">
        <v>9</v>
      </c>
      <c r="D144" s="261" t="s">
        <v>477</v>
      </c>
      <c r="E144" s="262"/>
      <c r="F144" s="74">
        <v>3</v>
      </c>
      <c r="G144" s="42"/>
      <c r="H144" s="5"/>
    </row>
    <row r="145" spans="1:8" ht="12.75">
      <c r="A145" s="7" t="s">
        <v>62</v>
      </c>
      <c r="B145" s="16" t="s">
        <v>180</v>
      </c>
      <c r="C145" s="247" t="s">
        <v>344</v>
      </c>
      <c r="D145" s="248"/>
      <c r="E145" s="16" t="s">
        <v>510</v>
      </c>
      <c r="F145" s="28">
        <v>5</v>
      </c>
      <c r="G145" s="79">
        <v>0</v>
      </c>
      <c r="H145" s="5"/>
    </row>
    <row r="146" spans="1:8" ht="12" customHeight="1">
      <c r="A146" s="5"/>
      <c r="C146" s="69" t="s">
        <v>11</v>
      </c>
      <c r="D146" s="261"/>
      <c r="E146" s="262"/>
      <c r="F146" s="74">
        <v>5</v>
      </c>
      <c r="G146" s="42"/>
      <c r="H146" s="5"/>
    </row>
    <row r="147" spans="1:8" ht="12.75">
      <c r="A147" s="7" t="s">
        <v>63</v>
      </c>
      <c r="B147" s="16" t="s">
        <v>181</v>
      </c>
      <c r="C147" s="247" t="s">
        <v>345</v>
      </c>
      <c r="D147" s="248"/>
      <c r="E147" s="16" t="s">
        <v>510</v>
      </c>
      <c r="F147" s="28">
        <v>3</v>
      </c>
      <c r="G147" s="79">
        <v>0</v>
      </c>
      <c r="H147" s="5"/>
    </row>
    <row r="148" spans="1:8" ht="12" customHeight="1">
      <c r="A148" s="5"/>
      <c r="C148" s="69" t="s">
        <v>9</v>
      </c>
      <c r="D148" s="261" t="s">
        <v>477</v>
      </c>
      <c r="E148" s="262"/>
      <c r="F148" s="74">
        <v>3</v>
      </c>
      <c r="G148" s="42"/>
      <c r="H148" s="5"/>
    </row>
    <row r="149" spans="1:8" ht="12.75">
      <c r="A149" s="4" t="s">
        <v>64</v>
      </c>
      <c r="B149" s="14" t="s">
        <v>182</v>
      </c>
      <c r="C149" s="244" t="s">
        <v>346</v>
      </c>
      <c r="D149" s="245"/>
      <c r="E149" s="14" t="s">
        <v>506</v>
      </c>
      <c r="F149" s="26">
        <v>1</v>
      </c>
      <c r="G149" s="78">
        <v>0</v>
      </c>
      <c r="H149" s="5"/>
    </row>
    <row r="150" spans="1:8" ht="12" customHeight="1">
      <c r="A150" s="5"/>
      <c r="C150" s="69" t="s">
        <v>7</v>
      </c>
      <c r="D150" s="261" t="s">
        <v>477</v>
      </c>
      <c r="E150" s="262"/>
      <c r="F150" s="73">
        <v>1</v>
      </c>
      <c r="G150" s="42"/>
      <c r="H150" s="5"/>
    </row>
    <row r="151" spans="1:8" ht="12.75">
      <c r="A151" s="4" t="s">
        <v>65</v>
      </c>
      <c r="B151" s="14" t="s">
        <v>183</v>
      </c>
      <c r="C151" s="244" t="s">
        <v>347</v>
      </c>
      <c r="D151" s="245"/>
      <c r="E151" s="14" t="s">
        <v>509</v>
      </c>
      <c r="F151" s="26">
        <v>2</v>
      </c>
      <c r="G151" s="78">
        <v>0</v>
      </c>
      <c r="H151" s="5"/>
    </row>
    <row r="152" spans="1:8" ht="12" customHeight="1">
      <c r="A152" s="5"/>
      <c r="C152" s="69" t="s">
        <v>8</v>
      </c>
      <c r="D152" s="261" t="s">
        <v>477</v>
      </c>
      <c r="E152" s="262"/>
      <c r="F152" s="73">
        <v>2</v>
      </c>
      <c r="G152" s="42"/>
      <c r="H152" s="5"/>
    </row>
    <row r="153" spans="1:8" ht="12.75">
      <c r="A153" s="4" t="s">
        <v>66</v>
      </c>
      <c r="B153" s="14" t="s">
        <v>184</v>
      </c>
      <c r="C153" s="244" t="s">
        <v>348</v>
      </c>
      <c r="D153" s="245"/>
      <c r="E153" s="14" t="s">
        <v>509</v>
      </c>
      <c r="F153" s="26">
        <v>1</v>
      </c>
      <c r="G153" s="78">
        <v>0</v>
      </c>
      <c r="H153" s="5"/>
    </row>
    <row r="154" spans="1:8" ht="12" customHeight="1">
      <c r="A154" s="5"/>
      <c r="C154" s="69" t="s">
        <v>7</v>
      </c>
      <c r="D154" s="261" t="s">
        <v>477</v>
      </c>
      <c r="E154" s="262"/>
      <c r="F154" s="73">
        <v>1</v>
      </c>
      <c r="G154" s="42"/>
      <c r="H154" s="5"/>
    </row>
    <row r="155" spans="1:8" ht="12.75">
      <c r="A155" s="4" t="s">
        <v>67</v>
      </c>
      <c r="B155" s="14" t="s">
        <v>185</v>
      </c>
      <c r="C155" s="244" t="s">
        <v>349</v>
      </c>
      <c r="D155" s="245"/>
      <c r="E155" s="14" t="s">
        <v>507</v>
      </c>
      <c r="F155" s="26">
        <v>0.25089</v>
      </c>
      <c r="G155" s="78">
        <v>0</v>
      </c>
      <c r="H155" s="5"/>
    </row>
    <row r="156" spans="1:8" ht="12.75">
      <c r="A156" s="4" t="s">
        <v>68</v>
      </c>
      <c r="B156" s="14" t="s">
        <v>187</v>
      </c>
      <c r="C156" s="244" t="s">
        <v>351</v>
      </c>
      <c r="D156" s="245"/>
      <c r="E156" s="14" t="s">
        <v>508</v>
      </c>
      <c r="F156" s="26">
        <v>10</v>
      </c>
      <c r="G156" s="78">
        <v>0</v>
      </c>
      <c r="H156" s="5"/>
    </row>
    <row r="157" spans="1:8" ht="12" customHeight="1">
      <c r="A157" s="5"/>
      <c r="C157" s="69" t="s">
        <v>16</v>
      </c>
      <c r="D157" s="261" t="s">
        <v>478</v>
      </c>
      <c r="E157" s="262"/>
      <c r="F157" s="73">
        <v>10</v>
      </c>
      <c r="G157" s="42"/>
      <c r="H157" s="5"/>
    </row>
    <row r="158" spans="1:8" ht="12.75">
      <c r="A158" s="7" t="s">
        <v>69</v>
      </c>
      <c r="B158" s="16" t="s">
        <v>188</v>
      </c>
      <c r="C158" s="247" t="s">
        <v>352</v>
      </c>
      <c r="D158" s="248"/>
      <c r="E158" s="16" t="s">
        <v>510</v>
      </c>
      <c r="F158" s="28">
        <v>2</v>
      </c>
      <c r="G158" s="79">
        <v>0</v>
      </c>
      <c r="H158" s="5"/>
    </row>
    <row r="159" spans="1:8" ht="12" customHeight="1">
      <c r="A159" s="5"/>
      <c r="C159" s="69" t="s">
        <v>8</v>
      </c>
      <c r="D159" s="261" t="s">
        <v>478</v>
      </c>
      <c r="E159" s="262"/>
      <c r="F159" s="74">
        <v>2</v>
      </c>
      <c r="G159" s="42"/>
      <c r="H159" s="5"/>
    </row>
    <row r="160" spans="1:8" ht="12.75">
      <c r="A160" s="4" t="s">
        <v>70</v>
      </c>
      <c r="B160" s="14" t="s">
        <v>189</v>
      </c>
      <c r="C160" s="244" t="s">
        <v>353</v>
      </c>
      <c r="D160" s="245"/>
      <c r="E160" s="14" t="s">
        <v>506</v>
      </c>
      <c r="F160" s="26">
        <v>2</v>
      </c>
      <c r="G160" s="78">
        <v>0</v>
      </c>
      <c r="H160" s="5"/>
    </row>
    <row r="161" spans="1:8" ht="12" customHeight="1">
      <c r="A161" s="5"/>
      <c r="C161" s="69" t="s">
        <v>8</v>
      </c>
      <c r="D161" s="261" t="s">
        <v>478</v>
      </c>
      <c r="E161" s="262"/>
      <c r="F161" s="73">
        <v>2</v>
      </c>
      <c r="G161" s="42"/>
      <c r="H161" s="5"/>
    </row>
    <row r="162" spans="1:8" ht="12.75">
      <c r="A162" s="4" t="s">
        <v>71</v>
      </c>
      <c r="B162" s="14" t="s">
        <v>136</v>
      </c>
      <c r="C162" s="244" t="s">
        <v>354</v>
      </c>
      <c r="D162" s="245"/>
      <c r="E162" s="14" t="s">
        <v>508</v>
      </c>
      <c r="F162" s="26">
        <v>10</v>
      </c>
      <c r="G162" s="78">
        <v>0</v>
      </c>
      <c r="H162" s="5"/>
    </row>
    <row r="163" spans="1:8" ht="12" customHeight="1">
      <c r="A163" s="5"/>
      <c r="C163" s="69" t="s">
        <v>16</v>
      </c>
      <c r="D163" s="261" t="s">
        <v>479</v>
      </c>
      <c r="E163" s="262"/>
      <c r="F163" s="73">
        <v>10</v>
      </c>
      <c r="G163" s="42"/>
      <c r="H163" s="5"/>
    </row>
    <row r="164" spans="1:8" ht="12.75">
      <c r="A164" s="4" t="s">
        <v>72</v>
      </c>
      <c r="B164" s="14" t="s">
        <v>143</v>
      </c>
      <c r="C164" s="244" t="s">
        <v>286</v>
      </c>
      <c r="D164" s="245"/>
      <c r="E164" s="14" t="s">
        <v>507</v>
      </c>
      <c r="F164" s="26">
        <v>0.0164</v>
      </c>
      <c r="G164" s="78">
        <v>0</v>
      </c>
      <c r="H164" s="5"/>
    </row>
    <row r="165" spans="1:8" ht="12.75">
      <c r="A165" s="4" t="s">
        <v>73</v>
      </c>
      <c r="B165" s="14" t="s">
        <v>191</v>
      </c>
      <c r="C165" s="244" t="s">
        <v>356</v>
      </c>
      <c r="D165" s="245"/>
      <c r="E165" s="14" t="s">
        <v>506</v>
      </c>
      <c r="F165" s="26">
        <v>4</v>
      </c>
      <c r="G165" s="78">
        <v>0</v>
      </c>
      <c r="H165" s="5"/>
    </row>
    <row r="166" spans="1:8" ht="12" customHeight="1">
      <c r="A166" s="5"/>
      <c r="C166" s="69" t="s">
        <v>10</v>
      </c>
      <c r="D166" s="261" t="s">
        <v>480</v>
      </c>
      <c r="E166" s="262"/>
      <c r="F166" s="73">
        <v>4</v>
      </c>
      <c r="G166" s="42"/>
      <c r="H166" s="5"/>
    </row>
    <row r="167" spans="1:8" ht="12.75">
      <c r="A167" s="4" t="s">
        <v>74</v>
      </c>
      <c r="B167" s="14" t="s">
        <v>192</v>
      </c>
      <c r="C167" s="244" t="s">
        <v>357</v>
      </c>
      <c r="D167" s="245"/>
      <c r="E167" s="14" t="s">
        <v>505</v>
      </c>
      <c r="F167" s="26">
        <v>0.36</v>
      </c>
      <c r="G167" s="78">
        <v>0</v>
      </c>
      <c r="H167" s="5"/>
    </row>
    <row r="168" spans="1:8" ht="12" customHeight="1">
      <c r="A168" s="5"/>
      <c r="C168" s="69" t="s">
        <v>358</v>
      </c>
      <c r="D168" s="261"/>
      <c r="E168" s="262"/>
      <c r="F168" s="73">
        <v>0.36</v>
      </c>
      <c r="G168" s="42"/>
      <c r="H168" s="5"/>
    </row>
    <row r="169" spans="1:8" ht="12.75">
      <c r="A169" s="4" t="s">
        <v>75</v>
      </c>
      <c r="B169" s="14" t="s">
        <v>193</v>
      </c>
      <c r="C169" s="244" t="s">
        <v>359</v>
      </c>
      <c r="D169" s="245"/>
      <c r="E169" s="14" t="s">
        <v>505</v>
      </c>
      <c r="F169" s="26">
        <v>0.36</v>
      </c>
      <c r="G169" s="78">
        <v>0</v>
      </c>
      <c r="H169" s="5"/>
    </row>
    <row r="170" spans="1:8" ht="12" customHeight="1">
      <c r="A170" s="5"/>
      <c r="C170" s="69" t="s">
        <v>358</v>
      </c>
      <c r="D170" s="261"/>
      <c r="E170" s="262"/>
      <c r="F170" s="73">
        <v>0.36</v>
      </c>
      <c r="G170" s="42"/>
      <c r="H170" s="5"/>
    </row>
    <row r="171" spans="1:8" ht="12.75">
      <c r="A171" s="4" t="s">
        <v>76</v>
      </c>
      <c r="B171" s="14" t="s">
        <v>194</v>
      </c>
      <c r="C171" s="244" t="s">
        <v>360</v>
      </c>
      <c r="D171" s="245"/>
      <c r="E171" s="14" t="s">
        <v>507</v>
      </c>
      <c r="F171" s="26">
        <v>0.00996</v>
      </c>
      <c r="G171" s="78">
        <v>0</v>
      </c>
      <c r="H171" s="5"/>
    </row>
    <row r="172" spans="1:8" ht="12.75">
      <c r="A172" s="7" t="s">
        <v>77</v>
      </c>
      <c r="B172" s="16" t="s">
        <v>196</v>
      </c>
      <c r="C172" s="247" t="s">
        <v>362</v>
      </c>
      <c r="D172" s="248"/>
      <c r="E172" s="16" t="s">
        <v>510</v>
      </c>
      <c r="F172" s="28">
        <v>4</v>
      </c>
      <c r="G172" s="79">
        <v>0</v>
      </c>
      <c r="H172" s="5"/>
    </row>
    <row r="173" spans="1:8" ht="12" customHeight="1">
      <c r="A173" s="5"/>
      <c r="C173" s="69" t="s">
        <v>10</v>
      </c>
      <c r="D173" s="261" t="s">
        <v>446</v>
      </c>
      <c r="E173" s="262"/>
      <c r="F173" s="74">
        <v>4</v>
      </c>
      <c r="G173" s="42"/>
      <c r="H173" s="5"/>
    </row>
    <row r="174" spans="1:8" ht="12.75">
      <c r="A174" s="4" t="s">
        <v>78</v>
      </c>
      <c r="B174" s="14" t="s">
        <v>197</v>
      </c>
      <c r="C174" s="244" t="s">
        <v>363</v>
      </c>
      <c r="D174" s="245"/>
      <c r="E174" s="14" t="s">
        <v>507</v>
      </c>
      <c r="F174" s="26">
        <v>0.05</v>
      </c>
      <c r="G174" s="78">
        <v>0</v>
      </c>
      <c r="H174" s="5"/>
    </row>
    <row r="175" spans="1:8" ht="12.75">
      <c r="A175" s="4" t="s">
        <v>79</v>
      </c>
      <c r="B175" s="14" t="s">
        <v>199</v>
      </c>
      <c r="C175" s="244" t="s">
        <v>365</v>
      </c>
      <c r="D175" s="245"/>
      <c r="E175" s="14" t="s">
        <v>505</v>
      </c>
      <c r="F175" s="26">
        <v>21.57</v>
      </c>
      <c r="G175" s="78">
        <v>0</v>
      </c>
      <c r="H175" s="5"/>
    </row>
    <row r="176" spans="1:8" ht="12" customHeight="1">
      <c r="A176" s="5"/>
      <c r="C176" s="69" t="s">
        <v>265</v>
      </c>
      <c r="D176" s="261" t="s">
        <v>481</v>
      </c>
      <c r="E176" s="262"/>
      <c r="F176" s="73">
        <v>21.57</v>
      </c>
      <c r="G176" s="42"/>
      <c r="H176" s="5"/>
    </row>
    <row r="177" spans="1:8" ht="12.75">
      <c r="A177" s="4" t="s">
        <v>80</v>
      </c>
      <c r="B177" s="14" t="s">
        <v>200</v>
      </c>
      <c r="C177" s="244" t="s">
        <v>366</v>
      </c>
      <c r="D177" s="245"/>
      <c r="E177" s="14" t="s">
        <v>505</v>
      </c>
      <c r="F177" s="26">
        <v>21.57</v>
      </c>
      <c r="G177" s="78">
        <v>0</v>
      </c>
      <c r="H177" s="5"/>
    </row>
    <row r="178" spans="1:8" ht="12" customHeight="1">
      <c r="A178" s="5"/>
      <c r="C178" s="69" t="s">
        <v>265</v>
      </c>
      <c r="D178" s="261" t="s">
        <v>481</v>
      </c>
      <c r="E178" s="262"/>
      <c r="F178" s="73">
        <v>21.57</v>
      </c>
      <c r="G178" s="42"/>
      <c r="H178" s="5"/>
    </row>
    <row r="179" spans="1:8" ht="12.75">
      <c r="A179" s="7" t="s">
        <v>81</v>
      </c>
      <c r="B179" s="16" t="s">
        <v>201</v>
      </c>
      <c r="C179" s="247" t="s">
        <v>367</v>
      </c>
      <c r="D179" s="248"/>
      <c r="E179" s="16" t="s">
        <v>508</v>
      </c>
      <c r="F179" s="28">
        <v>6.16</v>
      </c>
      <c r="G179" s="79">
        <v>0</v>
      </c>
      <c r="H179" s="5"/>
    </row>
    <row r="180" spans="1:8" ht="12" customHeight="1">
      <c r="A180" s="5"/>
      <c r="C180" s="69" t="s">
        <v>368</v>
      </c>
      <c r="D180" s="261" t="s">
        <v>482</v>
      </c>
      <c r="E180" s="262"/>
      <c r="F180" s="74">
        <v>6.16</v>
      </c>
      <c r="G180" s="42"/>
      <c r="H180" s="5"/>
    </row>
    <row r="181" spans="1:8" ht="12.75">
      <c r="A181" s="7" t="s">
        <v>82</v>
      </c>
      <c r="B181" s="16" t="s">
        <v>202</v>
      </c>
      <c r="C181" s="247" t="s">
        <v>369</v>
      </c>
      <c r="D181" s="248"/>
      <c r="E181" s="16" t="s">
        <v>510</v>
      </c>
      <c r="F181" s="28">
        <v>2</v>
      </c>
      <c r="G181" s="79">
        <v>0</v>
      </c>
      <c r="H181" s="5"/>
    </row>
    <row r="182" spans="1:8" ht="12" customHeight="1">
      <c r="A182" s="5"/>
      <c r="C182" s="69" t="s">
        <v>8</v>
      </c>
      <c r="D182" s="261" t="s">
        <v>482</v>
      </c>
      <c r="E182" s="262"/>
      <c r="F182" s="74">
        <v>2</v>
      </c>
      <c r="G182" s="42"/>
      <c r="H182" s="5"/>
    </row>
    <row r="183" spans="1:8" ht="12.75">
      <c r="A183" s="4" t="s">
        <v>83</v>
      </c>
      <c r="B183" s="14" t="s">
        <v>203</v>
      </c>
      <c r="C183" s="244" t="s">
        <v>370</v>
      </c>
      <c r="D183" s="245"/>
      <c r="E183" s="14" t="s">
        <v>507</v>
      </c>
      <c r="F183" s="26">
        <v>0.15209</v>
      </c>
      <c r="G183" s="78">
        <v>0</v>
      </c>
      <c r="H183" s="5"/>
    </row>
    <row r="184" spans="1:8" ht="12.75">
      <c r="A184" s="4" t="s">
        <v>84</v>
      </c>
      <c r="B184" s="14" t="s">
        <v>205</v>
      </c>
      <c r="C184" s="244" t="s">
        <v>372</v>
      </c>
      <c r="D184" s="245"/>
      <c r="E184" s="14" t="s">
        <v>505</v>
      </c>
      <c r="F184" s="26">
        <v>21.57</v>
      </c>
      <c r="G184" s="78">
        <v>0</v>
      </c>
      <c r="H184" s="5"/>
    </row>
    <row r="185" spans="1:8" ht="12" customHeight="1">
      <c r="A185" s="5"/>
      <c r="C185" s="69" t="s">
        <v>265</v>
      </c>
      <c r="D185" s="261" t="s">
        <v>445</v>
      </c>
      <c r="E185" s="262"/>
      <c r="F185" s="73">
        <v>21.57</v>
      </c>
      <c r="G185" s="42"/>
      <c r="H185" s="5"/>
    </row>
    <row r="186" spans="1:8" ht="12.75">
      <c r="A186" s="4" t="s">
        <v>85</v>
      </c>
      <c r="B186" s="14" t="s">
        <v>206</v>
      </c>
      <c r="C186" s="244" t="s">
        <v>373</v>
      </c>
      <c r="D186" s="245"/>
      <c r="E186" s="14" t="s">
        <v>505</v>
      </c>
      <c r="F186" s="26">
        <v>21.57</v>
      </c>
      <c r="G186" s="78">
        <v>0</v>
      </c>
      <c r="H186" s="5"/>
    </row>
    <row r="187" spans="1:8" ht="12" customHeight="1">
      <c r="A187" s="5"/>
      <c r="C187" s="69" t="s">
        <v>265</v>
      </c>
      <c r="D187" s="261" t="s">
        <v>445</v>
      </c>
      <c r="E187" s="262"/>
      <c r="F187" s="73">
        <v>21.57</v>
      </c>
      <c r="G187" s="42"/>
      <c r="H187" s="5"/>
    </row>
    <row r="188" spans="1:8" ht="12.75">
      <c r="A188" s="7" t="s">
        <v>86</v>
      </c>
      <c r="B188" s="16" t="s">
        <v>207</v>
      </c>
      <c r="C188" s="247" t="s">
        <v>374</v>
      </c>
      <c r="D188" s="248"/>
      <c r="E188" s="16" t="s">
        <v>505</v>
      </c>
      <c r="F188" s="28">
        <v>22.0014</v>
      </c>
      <c r="G188" s="79">
        <v>0</v>
      </c>
      <c r="H188" s="5"/>
    </row>
    <row r="189" spans="1:8" ht="12" customHeight="1">
      <c r="A189" s="5"/>
      <c r="C189" s="69" t="s">
        <v>265</v>
      </c>
      <c r="D189" s="261" t="s">
        <v>445</v>
      </c>
      <c r="E189" s="262"/>
      <c r="F189" s="74">
        <v>21.57</v>
      </c>
      <c r="G189" s="42"/>
      <c r="H189" s="5"/>
    </row>
    <row r="190" spans="1:8" ht="12" customHeight="1">
      <c r="A190" s="7"/>
      <c r="B190" s="16"/>
      <c r="C190" s="69" t="s">
        <v>375</v>
      </c>
      <c r="D190" s="261"/>
      <c r="E190" s="261"/>
      <c r="F190" s="74">
        <v>0.4314</v>
      </c>
      <c r="G190" s="44"/>
      <c r="H190" s="5"/>
    </row>
    <row r="191" spans="1:8" ht="12.75">
      <c r="A191" s="4" t="s">
        <v>87</v>
      </c>
      <c r="B191" s="14" t="s">
        <v>208</v>
      </c>
      <c r="C191" s="244" t="s">
        <v>376</v>
      </c>
      <c r="D191" s="245"/>
      <c r="E191" s="14" t="s">
        <v>507</v>
      </c>
      <c r="F191" s="26">
        <v>0.52488</v>
      </c>
      <c r="G191" s="78">
        <v>0</v>
      </c>
      <c r="H191" s="5"/>
    </row>
    <row r="192" spans="1:8" ht="12.75">
      <c r="A192" s="4" t="s">
        <v>88</v>
      </c>
      <c r="B192" s="14" t="s">
        <v>210</v>
      </c>
      <c r="C192" s="244" t="s">
        <v>378</v>
      </c>
      <c r="D192" s="245"/>
      <c r="E192" s="14" t="s">
        <v>505</v>
      </c>
      <c r="F192" s="26">
        <v>59.394</v>
      </c>
      <c r="G192" s="78">
        <v>0</v>
      </c>
      <c r="H192" s="5"/>
    </row>
    <row r="193" spans="1:8" ht="12" customHeight="1">
      <c r="A193" s="5"/>
      <c r="C193" s="69" t="s">
        <v>259</v>
      </c>
      <c r="D193" s="261" t="s">
        <v>442</v>
      </c>
      <c r="E193" s="262"/>
      <c r="F193" s="73">
        <v>59.394</v>
      </c>
      <c r="G193" s="42"/>
      <c r="H193" s="5"/>
    </row>
    <row r="194" spans="1:8" ht="12.75">
      <c r="A194" s="7" t="s">
        <v>89</v>
      </c>
      <c r="B194" s="16" t="s">
        <v>211</v>
      </c>
      <c r="C194" s="247" t="s">
        <v>379</v>
      </c>
      <c r="D194" s="248"/>
      <c r="E194" s="16" t="s">
        <v>505</v>
      </c>
      <c r="F194" s="28">
        <v>61.17582</v>
      </c>
      <c r="G194" s="79">
        <v>0</v>
      </c>
      <c r="H194" s="5"/>
    </row>
    <row r="195" spans="1:8" ht="12" customHeight="1">
      <c r="A195" s="5"/>
      <c r="C195" s="69" t="s">
        <v>259</v>
      </c>
      <c r="D195" s="261" t="s">
        <v>483</v>
      </c>
      <c r="E195" s="262"/>
      <c r="F195" s="74">
        <v>59.394</v>
      </c>
      <c r="G195" s="42"/>
      <c r="H195" s="5"/>
    </row>
    <row r="196" spans="1:8" ht="12" customHeight="1">
      <c r="A196" s="7"/>
      <c r="B196" s="16"/>
      <c r="C196" s="69" t="s">
        <v>380</v>
      </c>
      <c r="D196" s="261"/>
      <c r="E196" s="261"/>
      <c r="F196" s="74">
        <v>1.78182</v>
      </c>
      <c r="G196" s="44"/>
      <c r="H196" s="5"/>
    </row>
    <row r="197" spans="1:8" ht="12.75">
      <c r="A197" s="4" t="s">
        <v>90</v>
      </c>
      <c r="B197" s="14" t="s">
        <v>212</v>
      </c>
      <c r="C197" s="244" t="s">
        <v>381</v>
      </c>
      <c r="D197" s="245"/>
      <c r="E197" s="14" t="s">
        <v>505</v>
      </c>
      <c r="F197" s="26">
        <v>59.394</v>
      </c>
      <c r="G197" s="78">
        <v>0</v>
      </c>
      <c r="H197" s="5"/>
    </row>
    <row r="198" spans="1:8" ht="12" customHeight="1">
      <c r="A198" s="5"/>
      <c r="C198" s="69" t="s">
        <v>382</v>
      </c>
      <c r="D198" s="261" t="s">
        <v>443</v>
      </c>
      <c r="E198" s="262"/>
      <c r="F198" s="73">
        <v>26</v>
      </c>
      <c r="G198" s="42"/>
      <c r="H198" s="5"/>
    </row>
    <row r="199" spans="1:8" ht="12" customHeight="1">
      <c r="A199" s="4"/>
      <c r="B199" s="14"/>
      <c r="C199" s="69" t="s">
        <v>383</v>
      </c>
      <c r="D199" s="261" t="s">
        <v>444</v>
      </c>
      <c r="E199" s="261"/>
      <c r="F199" s="73">
        <v>26.68</v>
      </c>
      <c r="G199" s="41"/>
      <c r="H199" s="5"/>
    </row>
    <row r="200" spans="1:8" ht="12" customHeight="1">
      <c r="A200" s="4"/>
      <c r="B200" s="14"/>
      <c r="C200" s="69" t="s">
        <v>384</v>
      </c>
      <c r="D200" s="261" t="s">
        <v>484</v>
      </c>
      <c r="E200" s="261"/>
      <c r="F200" s="73">
        <v>6.714</v>
      </c>
      <c r="G200" s="41"/>
      <c r="H200" s="5"/>
    </row>
    <row r="201" spans="1:8" ht="12.75">
      <c r="A201" s="4" t="s">
        <v>91</v>
      </c>
      <c r="B201" s="14" t="s">
        <v>213</v>
      </c>
      <c r="C201" s="244" t="s">
        <v>385</v>
      </c>
      <c r="D201" s="245"/>
      <c r="E201" s="14" t="s">
        <v>507</v>
      </c>
      <c r="F201" s="26">
        <v>1.10223</v>
      </c>
      <c r="G201" s="78">
        <v>0</v>
      </c>
      <c r="H201" s="5"/>
    </row>
    <row r="202" spans="1:8" ht="12.75">
      <c r="A202" s="4" t="s">
        <v>92</v>
      </c>
      <c r="B202" s="14" t="s">
        <v>215</v>
      </c>
      <c r="C202" s="244" t="s">
        <v>387</v>
      </c>
      <c r="D202" s="245"/>
      <c r="E202" s="14" t="s">
        <v>505</v>
      </c>
      <c r="F202" s="26">
        <v>25.74</v>
      </c>
      <c r="G202" s="78">
        <v>0</v>
      </c>
      <c r="H202" s="5"/>
    </row>
    <row r="203" spans="1:8" ht="12" customHeight="1">
      <c r="A203" s="5"/>
      <c r="C203" s="69" t="s">
        <v>388</v>
      </c>
      <c r="D203" s="261" t="s">
        <v>485</v>
      </c>
      <c r="E203" s="262"/>
      <c r="F203" s="73">
        <v>4.74</v>
      </c>
      <c r="G203" s="42"/>
      <c r="H203" s="5"/>
    </row>
    <row r="204" spans="1:8" ht="12" customHeight="1">
      <c r="A204" s="4"/>
      <c r="B204" s="14"/>
      <c r="C204" s="69" t="s">
        <v>389</v>
      </c>
      <c r="D204" s="261" t="s">
        <v>486</v>
      </c>
      <c r="E204" s="261"/>
      <c r="F204" s="73">
        <v>21</v>
      </c>
      <c r="G204" s="41"/>
      <c r="H204" s="5"/>
    </row>
    <row r="205" spans="1:8" ht="12.75">
      <c r="A205" s="4" t="s">
        <v>93</v>
      </c>
      <c r="B205" s="14" t="s">
        <v>217</v>
      </c>
      <c r="C205" s="244" t="s">
        <v>391</v>
      </c>
      <c r="D205" s="245"/>
      <c r="E205" s="14" t="s">
        <v>505</v>
      </c>
      <c r="F205" s="26">
        <v>63.989</v>
      </c>
      <c r="G205" s="78">
        <v>0</v>
      </c>
      <c r="H205" s="5"/>
    </row>
    <row r="206" spans="1:8" ht="12" customHeight="1">
      <c r="A206" s="5"/>
      <c r="C206" s="69" t="s">
        <v>392</v>
      </c>
      <c r="D206" s="261" t="s">
        <v>487</v>
      </c>
      <c r="E206" s="262"/>
      <c r="F206" s="73">
        <v>63.989</v>
      </c>
      <c r="G206" s="42"/>
      <c r="H206" s="5"/>
    </row>
    <row r="207" spans="1:8" ht="12.75">
      <c r="A207" s="4" t="s">
        <v>94</v>
      </c>
      <c r="B207" s="14" t="s">
        <v>218</v>
      </c>
      <c r="C207" s="244" t="s">
        <v>393</v>
      </c>
      <c r="D207" s="245"/>
      <c r="E207" s="14" t="s">
        <v>505</v>
      </c>
      <c r="F207" s="26">
        <v>63.989</v>
      </c>
      <c r="G207" s="78">
        <v>0</v>
      </c>
      <c r="H207" s="5"/>
    </row>
    <row r="208" spans="1:8" ht="12" customHeight="1">
      <c r="A208" s="5"/>
      <c r="C208" s="69" t="s">
        <v>261</v>
      </c>
      <c r="D208" s="261" t="s">
        <v>443</v>
      </c>
      <c r="E208" s="262"/>
      <c r="F208" s="73">
        <v>21.12</v>
      </c>
      <c r="G208" s="42"/>
      <c r="H208" s="5"/>
    </row>
    <row r="209" spans="1:8" ht="12" customHeight="1">
      <c r="A209" s="4"/>
      <c r="B209" s="14"/>
      <c r="C209" s="69" t="s">
        <v>262</v>
      </c>
      <c r="D209" s="261" t="s">
        <v>444</v>
      </c>
      <c r="E209" s="261"/>
      <c r="F209" s="73">
        <v>21.528</v>
      </c>
      <c r="G209" s="41"/>
      <c r="H209" s="5"/>
    </row>
    <row r="210" spans="1:8" ht="12" customHeight="1">
      <c r="A210" s="4"/>
      <c r="B210" s="14"/>
      <c r="C210" s="69" t="s">
        <v>394</v>
      </c>
      <c r="D210" s="261" t="s">
        <v>488</v>
      </c>
      <c r="E210" s="261"/>
      <c r="F210" s="73">
        <v>21.341</v>
      </c>
      <c r="G210" s="41"/>
      <c r="H210" s="5"/>
    </row>
    <row r="211" spans="1:8" ht="12.75">
      <c r="A211" s="4" t="s">
        <v>95</v>
      </c>
      <c r="B211" s="14" t="s">
        <v>219</v>
      </c>
      <c r="C211" s="244" t="s">
        <v>395</v>
      </c>
      <c r="D211" s="245"/>
      <c r="E211" s="14" t="s">
        <v>505</v>
      </c>
      <c r="F211" s="26">
        <v>63.989</v>
      </c>
      <c r="G211" s="78">
        <v>0</v>
      </c>
      <c r="H211" s="5"/>
    </row>
    <row r="212" spans="1:8" ht="12" customHeight="1">
      <c r="A212" s="5"/>
      <c r="C212" s="69" t="s">
        <v>392</v>
      </c>
      <c r="D212" s="261" t="s">
        <v>487</v>
      </c>
      <c r="E212" s="262"/>
      <c r="F212" s="73">
        <v>63.989</v>
      </c>
      <c r="G212" s="42"/>
      <c r="H212" s="5"/>
    </row>
    <row r="213" spans="1:8" ht="12.75">
      <c r="A213" s="4" t="s">
        <v>96</v>
      </c>
      <c r="B213" s="14" t="s">
        <v>220</v>
      </c>
      <c r="C213" s="244" t="s">
        <v>397</v>
      </c>
      <c r="D213" s="245"/>
      <c r="E213" s="14" t="s">
        <v>505</v>
      </c>
      <c r="F213" s="26">
        <v>21.57</v>
      </c>
      <c r="G213" s="78">
        <v>0</v>
      </c>
      <c r="H213" s="5"/>
    </row>
    <row r="214" spans="1:8" ht="12" customHeight="1">
      <c r="A214" s="5"/>
      <c r="C214" s="69" t="s">
        <v>265</v>
      </c>
      <c r="D214" s="261" t="s">
        <v>445</v>
      </c>
      <c r="E214" s="262"/>
      <c r="F214" s="73">
        <v>21.57</v>
      </c>
      <c r="G214" s="42"/>
      <c r="H214" s="5"/>
    </row>
    <row r="215" spans="1:8" ht="12.75">
      <c r="A215" s="4" t="s">
        <v>97</v>
      </c>
      <c r="B215" s="14" t="s">
        <v>221</v>
      </c>
      <c r="C215" s="244" t="s">
        <v>399</v>
      </c>
      <c r="D215" s="245"/>
      <c r="E215" s="14" t="s">
        <v>505</v>
      </c>
      <c r="F215" s="26">
        <v>31.57</v>
      </c>
      <c r="G215" s="78">
        <v>0</v>
      </c>
      <c r="H215" s="5"/>
    </row>
    <row r="216" spans="1:8" ht="12" customHeight="1">
      <c r="A216" s="5"/>
      <c r="C216" s="69" t="s">
        <v>400</v>
      </c>
      <c r="D216" s="261" t="s">
        <v>445</v>
      </c>
      <c r="E216" s="262"/>
      <c r="F216" s="73">
        <v>31.57</v>
      </c>
      <c r="G216" s="42"/>
      <c r="H216" s="5"/>
    </row>
    <row r="217" spans="1:8" ht="12.75">
      <c r="A217" s="4" t="s">
        <v>98</v>
      </c>
      <c r="B217" s="14" t="s">
        <v>222</v>
      </c>
      <c r="C217" s="244" t="s">
        <v>401</v>
      </c>
      <c r="D217" s="245"/>
      <c r="E217" s="14" t="s">
        <v>506</v>
      </c>
      <c r="F217" s="26">
        <v>20</v>
      </c>
      <c r="G217" s="78">
        <v>0</v>
      </c>
      <c r="H217" s="5"/>
    </row>
    <row r="218" spans="1:8" ht="12" customHeight="1">
      <c r="A218" s="5"/>
      <c r="C218" s="69" t="s">
        <v>26</v>
      </c>
      <c r="D218" s="261" t="s">
        <v>489</v>
      </c>
      <c r="E218" s="262"/>
      <c r="F218" s="73">
        <v>20</v>
      </c>
      <c r="G218" s="42"/>
      <c r="H218" s="5"/>
    </row>
    <row r="219" spans="1:8" ht="12.75">
      <c r="A219" s="7" t="s">
        <v>99</v>
      </c>
      <c r="B219" s="16" t="s">
        <v>223</v>
      </c>
      <c r="C219" s="247" t="s">
        <v>402</v>
      </c>
      <c r="D219" s="248"/>
      <c r="E219" s="16" t="s">
        <v>510</v>
      </c>
      <c r="F219" s="28">
        <v>5</v>
      </c>
      <c r="G219" s="79">
        <v>0</v>
      </c>
      <c r="H219" s="5"/>
    </row>
    <row r="220" spans="1:8" ht="12" customHeight="1">
      <c r="A220" s="5"/>
      <c r="C220" s="69" t="s">
        <v>11</v>
      </c>
      <c r="D220" s="261" t="s">
        <v>443</v>
      </c>
      <c r="E220" s="262"/>
      <c r="F220" s="74">
        <v>5</v>
      </c>
      <c r="G220" s="42"/>
      <c r="H220" s="5"/>
    </row>
    <row r="221" spans="1:8" ht="12.75">
      <c r="A221" s="7" t="s">
        <v>100</v>
      </c>
      <c r="B221" s="16" t="s">
        <v>224</v>
      </c>
      <c r="C221" s="247" t="s">
        <v>403</v>
      </c>
      <c r="D221" s="248"/>
      <c r="E221" s="16" t="s">
        <v>510</v>
      </c>
      <c r="F221" s="28">
        <v>2</v>
      </c>
      <c r="G221" s="79">
        <v>0</v>
      </c>
      <c r="H221" s="5"/>
    </row>
    <row r="222" spans="1:8" ht="12.75">
      <c r="A222" s="4" t="s">
        <v>101</v>
      </c>
      <c r="B222" s="14" t="s">
        <v>225</v>
      </c>
      <c r="C222" s="244" t="s">
        <v>405</v>
      </c>
      <c r="D222" s="245"/>
      <c r="E222" s="14" t="s">
        <v>506</v>
      </c>
      <c r="F222" s="26">
        <v>7</v>
      </c>
      <c r="G222" s="78">
        <v>0</v>
      </c>
      <c r="H222" s="5"/>
    </row>
    <row r="223" spans="1:8" ht="12" customHeight="1">
      <c r="A223" s="5"/>
      <c r="C223" s="69" t="s">
        <v>13</v>
      </c>
      <c r="D223" s="261" t="s">
        <v>490</v>
      </c>
      <c r="E223" s="262"/>
      <c r="F223" s="73">
        <v>7</v>
      </c>
      <c r="G223" s="42"/>
      <c r="H223" s="5"/>
    </row>
    <row r="224" spans="1:8" ht="12.75">
      <c r="A224" s="4" t="s">
        <v>102</v>
      </c>
      <c r="B224" s="14" t="s">
        <v>226</v>
      </c>
      <c r="C224" s="244" t="s">
        <v>406</v>
      </c>
      <c r="D224" s="245"/>
      <c r="E224" s="14" t="s">
        <v>505</v>
      </c>
      <c r="F224" s="26">
        <v>25.63125</v>
      </c>
      <c r="G224" s="78">
        <v>0</v>
      </c>
      <c r="H224" s="5"/>
    </row>
    <row r="225" spans="1:8" ht="12" customHeight="1">
      <c r="A225" s="5"/>
      <c r="C225" s="69" t="s">
        <v>407</v>
      </c>
      <c r="D225" s="261" t="s">
        <v>491</v>
      </c>
      <c r="E225" s="262"/>
      <c r="F225" s="73">
        <v>19.5</v>
      </c>
      <c r="G225" s="42"/>
      <c r="H225" s="5"/>
    </row>
    <row r="226" spans="1:8" ht="12" customHeight="1">
      <c r="A226" s="4"/>
      <c r="B226" s="14"/>
      <c r="C226" s="69" t="s">
        <v>408</v>
      </c>
      <c r="D226" s="261" t="s">
        <v>492</v>
      </c>
      <c r="E226" s="261"/>
      <c r="F226" s="73">
        <v>6.13125</v>
      </c>
      <c r="G226" s="41"/>
      <c r="H226" s="5"/>
    </row>
    <row r="227" spans="1:8" ht="12.75">
      <c r="A227" s="4" t="s">
        <v>103</v>
      </c>
      <c r="B227" s="14" t="s">
        <v>227</v>
      </c>
      <c r="C227" s="244" t="s">
        <v>409</v>
      </c>
      <c r="D227" s="245"/>
      <c r="E227" s="14" t="s">
        <v>505</v>
      </c>
      <c r="F227" s="26">
        <v>21.57</v>
      </c>
      <c r="G227" s="78">
        <v>0</v>
      </c>
      <c r="H227" s="5"/>
    </row>
    <row r="228" spans="1:8" ht="12" customHeight="1">
      <c r="A228" s="5"/>
      <c r="C228" s="69" t="s">
        <v>265</v>
      </c>
      <c r="D228" s="261" t="s">
        <v>493</v>
      </c>
      <c r="E228" s="262"/>
      <c r="F228" s="73">
        <v>21.57</v>
      </c>
      <c r="G228" s="42"/>
      <c r="H228" s="5"/>
    </row>
    <row r="229" spans="1:8" ht="12.75">
      <c r="A229" s="4" t="s">
        <v>104</v>
      </c>
      <c r="B229" s="14" t="s">
        <v>228</v>
      </c>
      <c r="C229" s="244" t="s">
        <v>410</v>
      </c>
      <c r="D229" s="245"/>
      <c r="E229" s="14" t="s">
        <v>505</v>
      </c>
      <c r="F229" s="26">
        <v>7</v>
      </c>
      <c r="G229" s="78">
        <v>0</v>
      </c>
      <c r="H229" s="5"/>
    </row>
    <row r="230" spans="1:8" ht="12" customHeight="1">
      <c r="A230" s="5"/>
      <c r="C230" s="69" t="s">
        <v>13</v>
      </c>
      <c r="D230" s="261" t="s">
        <v>490</v>
      </c>
      <c r="E230" s="262"/>
      <c r="F230" s="73">
        <v>7</v>
      </c>
      <c r="G230" s="42"/>
      <c r="H230" s="5"/>
    </row>
    <row r="231" spans="1:8" ht="12.75">
      <c r="A231" s="4" t="s">
        <v>105</v>
      </c>
      <c r="B231" s="14" t="s">
        <v>229</v>
      </c>
      <c r="C231" s="244" t="s">
        <v>411</v>
      </c>
      <c r="D231" s="245"/>
      <c r="E231" s="14" t="s">
        <v>508</v>
      </c>
      <c r="F231" s="26">
        <v>0</v>
      </c>
      <c r="G231" s="78">
        <v>0</v>
      </c>
      <c r="H231" s="5"/>
    </row>
    <row r="232" spans="1:8" ht="12.75">
      <c r="A232" s="4" t="s">
        <v>106</v>
      </c>
      <c r="B232" s="14" t="s">
        <v>230</v>
      </c>
      <c r="C232" s="244" t="s">
        <v>412</v>
      </c>
      <c r="D232" s="245"/>
      <c r="E232" s="14" t="s">
        <v>508</v>
      </c>
      <c r="F232" s="26">
        <v>0</v>
      </c>
      <c r="G232" s="78">
        <v>0</v>
      </c>
      <c r="H232" s="5"/>
    </row>
    <row r="233" spans="1:8" ht="12.75">
      <c r="A233" s="4" t="s">
        <v>107</v>
      </c>
      <c r="B233" s="14" t="s">
        <v>232</v>
      </c>
      <c r="C233" s="244" t="s">
        <v>416</v>
      </c>
      <c r="D233" s="245"/>
      <c r="E233" s="14" t="s">
        <v>505</v>
      </c>
      <c r="F233" s="26">
        <v>30.72</v>
      </c>
      <c r="G233" s="78">
        <v>0</v>
      </c>
      <c r="H233" s="5"/>
    </row>
    <row r="234" spans="1:8" ht="12" customHeight="1">
      <c r="A234" s="5"/>
      <c r="C234" s="69" t="s">
        <v>417</v>
      </c>
      <c r="D234" s="261" t="s">
        <v>494</v>
      </c>
      <c r="E234" s="262"/>
      <c r="F234" s="73">
        <v>14.27</v>
      </c>
      <c r="G234" s="42"/>
      <c r="H234" s="5"/>
    </row>
    <row r="235" spans="1:8" ht="12" customHeight="1">
      <c r="A235" s="4"/>
      <c r="B235" s="14"/>
      <c r="C235" s="69" t="s">
        <v>418</v>
      </c>
      <c r="D235" s="261" t="s">
        <v>495</v>
      </c>
      <c r="E235" s="261"/>
      <c r="F235" s="73">
        <v>11.005</v>
      </c>
      <c r="G235" s="41"/>
      <c r="H235" s="5"/>
    </row>
    <row r="236" spans="1:8" ht="12" customHeight="1">
      <c r="A236" s="4"/>
      <c r="B236" s="14"/>
      <c r="C236" s="69" t="s">
        <v>419</v>
      </c>
      <c r="D236" s="261" t="s">
        <v>496</v>
      </c>
      <c r="E236" s="261"/>
      <c r="F236" s="73">
        <v>5.445</v>
      </c>
      <c r="G236" s="41"/>
      <c r="H236" s="5"/>
    </row>
    <row r="237" spans="1:8" ht="12.75">
      <c r="A237" s="4" t="s">
        <v>108</v>
      </c>
      <c r="B237" s="14" t="s">
        <v>233</v>
      </c>
      <c r="C237" s="244" t="s">
        <v>420</v>
      </c>
      <c r="D237" s="245"/>
      <c r="E237" s="14" t="s">
        <v>506</v>
      </c>
      <c r="F237" s="26">
        <v>2</v>
      </c>
      <c r="G237" s="78">
        <v>0</v>
      </c>
      <c r="H237" s="5"/>
    </row>
    <row r="238" spans="1:8" ht="12" customHeight="1">
      <c r="A238" s="5"/>
      <c r="C238" s="69" t="s">
        <v>8</v>
      </c>
      <c r="D238" s="261" t="s">
        <v>497</v>
      </c>
      <c r="E238" s="262"/>
      <c r="F238" s="73">
        <v>2</v>
      </c>
      <c r="G238" s="42"/>
      <c r="H238" s="5"/>
    </row>
    <row r="239" spans="1:8" ht="12.75">
      <c r="A239" s="4" t="s">
        <v>109</v>
      </c>
      <c r="B239" s="14" t="s">
        <v>234</v>
      </c>
      <c r="C239" s="244" t="s">
        <v>421</v>
      </c>
      <c r="D239" s="245"/>
      <c r="E239" s="14" t="s">
        <v>506</v>
      </c>
      <c r="F239" s="26">
        <v>2</v>
      </c>
      <c r="G239" s="78">
        <v>0</v>
      </c>
      <c r="H239" s="5"/>
    </row>
    <row r="240" spans="1:8" ht="12" customHeight="1">
      <c r="A240" s="5"/>
      <c r="C240" s="69" t="s">
        <v>8</v>
      </c>
      <c r="D240" s="261" t="s">
        <v>497</v>
      </c>
      <c r="E240" s="262"/>
      <c r="F240" s="73">
        <v>2</v>
      </c>
      <c r="G240" s="42"/>
      <c r="H240" s="5"/>
    </row>
    <row r="241" spans="1:8" ht="12.75">
      <c r="A241" s="4" t="s">
        <v>110</v>
      </c>
      <c r="B241" s="14" t="s">
        <v>235</v>
      </c>
      <c r="C241" s="244" t="s">
        <v>422</v>
      </c>
      <c r="D241" s="245"/>
      <c r="E241" s="14" t="s">
        <v>506</v>
      </c>
      <c r="F241" s="26">
        <v>4</v>
      </c>
      <c r="G241" s="78">
        <v>0</v>
      </c>
      <c r="H241" s="5"/>
    </row>
    <row r="242" spans="1:8" ht="12" customHeight="1">
      <c r="A242" s="5"/>
      <c r="C242" s="69" t="s">
        <v>10</v>
      </c>
      <c r="D242" s="261" t="s">
        <v>498</v>
      </c>
      <c r="E242" s="262"/>
      <c r="F242" s="73">
        <v>4</v>
      </c>
      <c r="G242" s="42"/>
      <c r="H242" s="5"/>
    </row>
    <row r="243" spans="1:8" ht="12.75">
      <c r="A243" s="4" t="s">
        <v>111</v>
      </c>
      <c r="B243" s="14" t="s">
        <v>236</v>
      </c>
      <c r="C243" s="244" t="s">
        <v>423</v>
      </c>
      <c r="D243" s="245"/>
      <c r="E243" s="14" t="s">
        <v>508</v>
      </c>
      <c r="F243" s="26">
        <v>6.53</v>
      </c>
      <c r="G243" s="78">
        <v>0</v>
      </c>
      <c r="H243" s="5"/>
    </row>
    <row r="244" spans="1:8" ht="12" customHeight="1">
      <c r="A244" s="5"/>
      <c r="C244" s="69" t="s">
        <v>424</v>
      </c>
      <c r="D244" s="261" t="s">
        <v>440</v>
      </c>
      <c r="E244" s="262"/>
      <c r="F244" s="73">
        <v>6.53</v>
      </c>
      <c r="G244" s="42"/>
      <c r="H244" s="5"/>
    </row>
    <row r="245" spans="1:8" ht="12.75">
      <c r="A245" s="4" t="s">
        <v>112</v>
      </c>
      <c r="B245" s="14" t="s">
        <v>237</v>
      </c>
      <c r="C245" s="244" t="s">
        <v>425</v>
      </c>
      <c r="D245" s="245"/>
      <c r="E245" s="14" t="s">
        <v>508</v>
      </c>
      <c r="F245" s="26">
        <v>2.5</v>
      </c>
      <c r="G245" s="78">
        <v>0</v>
      </c>
      <c r="H245" s="5"/>
    </row>
    <row r="246" spans="1:8" ht="12" customHeight="1">
      <c r="A246" s="5"/>
      <c r="C246" s="69" t="s">
        <v>257</v>
      </c>
      <c r="D246" s="261" t="s">
        <v>441</v>
      </c>
      <c r="E246" s="262"/>
      <c r="F246" s="73">
        <v>2.5</v>
      </c>
      <c r="G246" s="42"/>
      <c r="H246" s="5"/>
    </row>
    <row r="247" spans="1:8" ht="12.75">
      <c r="A247" s="4" t="s">
        <v>113</v>
      </c>
      <c r="B247" s="14" t="s">
        <v>238</v>
      </c>
      <c r="C247" s="244" t="s">
        <v>426</v>
      </c>
      <c r="D247" s="245"/>
      <c r="E247" s="14" t="s">
        <v>505</v>
      </c>
      <c r="F247" s="26">
        <v>91.774</v>
      </c>
      <c r="G247" s="78">
        <v>0</v>
      </c>
      <c r="H247" s="5"/>
    </row>
    <row r="248" spans="1:8" ht="12" customHeight="1">
      <c r="A248" s="5"/>
      <c r="C248" s="69" t="s">
        <v>427</v>
      </c>
      <c r="D248" s="261" t="s">
        <v>443</v>
      </c>
      <c r="E248" s="262"/>
      <c r="F248" s="73">
        <v>45.36</v>
      </c>
      <c r="G248" s="42"/>
      <c r="H248" s="5"/>
    </row>
    <row r="249" spans="1:8" ht="12" customHeight="1">
      <c r="A249" s="4"/>
      <c r="B249" s="14"/>
      <c r="C249" s="69" t="s">
        <v>428</v>
      </c>
      <c r="D249" s="261" t="s">
        <v>444</v>
      </c>
      <c r="E249" s="261"/>
      <c r="F249" s="73">
        <v>46.414</v>
      </c>
      <c r="G249" s="41"/>
      <c r="H249" s="5"/>
    </row>
    <row r="250" spans="1:8" ht="12.75">
      <c r="A250" s="7" t="s">
        <v>114</v>
      </c>
      <c r="B250" s="16" t="s">
        <v>240</v>
      </c>
      <c r="C250" s="247" t="s">
        <v>430</v>
      </c>
      <c r="D250" s="248"/>
      <c r="E250" s="16" t="s">
        <v>510</v>
      </c>
      <c r="F250" s="28">
        <v>1</v>
      </c>
      <c r="G250" s="79">
        <v>0</v>
      </c>
      <c r="H250" s="5"/>
    </row>
    <row r="251" spans="1:8" ht="12.75">
      <c r="A251" s="4" t="s">
        <v>115</v>
      </c>
      <c r="B251" s="14" t="s">
        <v>242</v>
      </c>
      <c r="C251" s="244" t="s">
        <v>432</v>
      </c>
      <c r="D251" s="245"/>
      <c r="E251" s="14" t="s">
        <v>507</v>
      </c>
      <c r="F251" s="26">
        <v>11.66993</v>
      </c>
      <c r="G251" s="78">
        <v>0</v>
      </c>
      <c r="H251" s="5"/>
    </row>
    <row r="252" spans="1:8" ht="12" customHeight="1">
      <c r="A252" s="5"/>
      <c r="C252" s="69" t="s">
        <v>433</v>
      </c>
      <c r="D252" s="261" t="s">
        <v>499</v>
      </c>
      <c r="E252" s="262"/>
      <c r="F252" s="73">
        <v>11.66993</v>
      </c>
      <c r="G252" s="42"/>
      <c r="H252" s="5"/>
    </row>
    <row r="253" spans="1:8" ht="12.75">
      <c r="A253" s="4" t="s">
        <v>116</v>
      </c>
      <c r="B253" s="14" t="s">
        <v>243</v>
      </c>
      <c r="C253" s="244" t="s">
        <v>434</v>
      </c>
      <c r="D253" s="245"/>
      <c r="E253" s="14" t="s">
        <v>507</v>
      </c>
      <c r="F253" s="26">
        <v>11.66993</v>
      </c>
      <c r="G253" s="78">
        <v>0</v>
      </c>
      <c r="H253" s="5"/>
    </row>
    <row r="254" spans="1:8" ht="12" customHeight="1">
      <c r="A254" s="5"/>
      <c r="C254" s="69" t="s">
        <v>433</v>
      </c>
      <c r="D254" s="261" t="s">
        <v>499</v>
      </c>
      <c r="E254" s="262"/>
      <c r="F254" s="73">
        <v>11.66993</v>
      </c>
      <c r="G254" s="42"/>
      <c r="H254" s="5"/>
    </row>
    <row r="255" spans="1:8" ht="12.75">
      <c r="A255" s="4" t="s">
        <v>117</v>
      </c>
      <c r="B255" s="14" t="s">
        <v>244</v>
      </c>
      <c r="C255" s="244" t="s">
        <v>435</v>
      </c>
      <c r="D255" s="245"/>
      <c r="E255" s="14" t="s">
        <v>507</v>
      </c>
      <c r="F255" s="26">
        <v>11.66993</v>
      </c>
      <c r="G255" s="78">
        <v>0</v>
      </c>
      <c r="H255" s="5"/>
    </row>
    <row r="256" spans="1:8" ht="12" customHeight="1">
      <c r="A256" s="5"/>
      <c r="C256" s="69" t="s">
        <v>433</v>
      </c>
      <c r="D256" s="261" t="s">
        <v>499</v>
      </c>
      <c r="E256" s="262"/>
      <c r="F256" s="73">
        <v>11.66993</v>
      </c>
      <c r="G256" s="42"/>
      <c r="H256" s="5"/>
    </row>
    <row r="257" spans="1:8" ht="12.75">
      <c r="A257" s="4" t="s">
        <v>118</v>
      </c>
      <c r="B257" s="14" t="s">
        <v>245</v>
      </c>
      <c r="C257" s="244" t="s">
        <v>436</v>
      </c>
      <c r="D257" s="245"/>
      <c r="E257" s="14" t="s">
        <v>507</v>
      </c>
      <c r="F257" s="26">
        <v>11.66993</v>
      </c>
      <c r="G257" s="78">
        <v>0</v>
      </c>
      <c r="H257" s="5"/>
    </row>
    <row r="258" spans="1:8" ht="12" customHeight="1">
      <c r="A258" s="5"/>
      <c r="C258" s="69" t="s">
        <v>433</v>
      </c>
      <c r="D258" s="261" t="s">
        <v>499</v>
      </c>
      <c r="E258" s="262"/>
      <c r="F258" s="73">
        <v>11.66993</v>
      </c>
      <c r="G258" s="42"/>
      <c r="H258" s="5"/>
    </row>
    <row r="259" spans="1:8" ht="12.75">
      <c r="A259" s="4" t="s">
        <v>119</v>
      </c>
      <c r="B259" s="14" t="s">
        <v>246</v>
      </c>
      <c r="C259" s="244" t="s">
        <v>437</v>
      </c>
      <c r="D259" s="245"/>
      <c r="E259" s="14" t="s">
        <v>507</v>
      </c>
      <c r="F259" s="26">
        <v>186.71888</v>
      </c>
      <c r="G259" s="78">
        <v>0</v>
      </c>
      <c r="H259" s="5"/>
    </row>
    <row r="260" spans="1:8" ht="12" customHeight="1">
      <c r="A260" s="8"/>
      <c r="B260" s="17"/>
      <c r="C260" s="70" t="s">
        <v>438</v>
      </c>
      <c r="D260" s="263"/>
      <c r="E260" s="264"/>
      <c r="F260" s="75">
        <v>186.71888</v>
      </c>
      <c r="G260" s="45"/>
      <c r="H260" s="5"/>
    </row>
    <row r="261" spans="1:7" ht="12.75">
      <c r="A261" s="9"/>
      <c r="B261" s="9"/>
      <c r="C261" s="9"/>
      <c r="D261" s="9"/>
      <c r="E261" s="9"/>
      <c r="F261" s="9"/>
      <c r="G261" s="9"/>
    </row>
    <row r="262" ht="11.25" customHeight="1">
      <c r="A262" s="10" t="s">
        <v>121</v>
      </c>
    </row>
    <row r="263" spans="1:8" ht="12.75">
      <c r="A263" s="167"/>
      <c r="B263" s="168"/>
      <c r="C263" s="168"/>
      <c r="D263" s="168"/>
      <c r="E263" s="168"/>
      <c r="F263" s="168"/>
      <c r="G263" s="168"/>
      <c r="H263" s="168"/>
    </row>
  </sheetData>
  <sheetProtection/>
  <mergeCells count="269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D12:E12"/>
    <mergeCell ref="C13:D13"/>
    <mergeCell ref="D14:E14"/>
    <mergeCell ref="D15:E15"/>
    <mergeCell ref="C16:D16"/>
    <mergeCell ref="D17:E17"/>
    <mergeCell ref="C18:D18"/>
    <mergeCell ref="D19:E19"/>
    <mergeCell ref="D20:E20"/>
    <mergeCell ref="C21:D21"/>
    <mergeCell ref="D22:E22"/>
    <mergeCell ref="C23:D23"/>
    <mergeCell ref="D24:E24"/>
    <mergeCell ref="C25:D25"/>
    <mergeCell ref="D26:E26"/>
    <mergeCell ref="C27:D27"/>
    <mergeCell ref="D28:E28"/>
    <mergeCell ref="C29:D29"/>
    <mergeCell ref="C30:D30"/>
    <mergeCell ref="D31:E31"/>
    <mergeCell ref="C32:D32"/>
    <mergeCell ref="D33:E33"/>
    <mergeCell ref="C34:D34"/>
    <mergeCell ref="D35:E35"/>
    <mergeCell ref="C36:D36"/>
    <mergeCell ref="D37:E37"/>
    <mergeCell ref="C38:D38"/>
    <mergeCell ref="D39:E39"/>
    <mergeCell ref="C40:D40"/>
    <mergeCell ref="D41:E41"/>
    <mergeCell ref="C42:D42"/>
    <mergeCell ref="D43:E43"/>
    <mergeCell ref="C44:D44"/>
    <mergeCell ref="D45:E45"/>
    <mergeCell ref="C46:D46"/>
    <mergeCell ref="D47:E47"/>
    <mergeCell ref="C48:D48"/>
    <mergeCell ref="D49:E49"/>
    <mergeCell ref="C50:D50"/>
    <mergeCell ref="C51:D51"/>
    <mergeCell ref="D52:E52"/>
    <mergeCell ref="C53:D53"/>
    <mergeCell ref="D54:E54"/>
    <mergeCell ref="C55:D55"/>
    <mergeCell ref="D56:E56"/>
    <mergeCell ref="C57:D57"/>
    <mergeCell ref="D58:E58"/>
    <mergeCell ref="C59:D59"/>
    <mergeCell ref="D60:E60"/>
    <mergeCell ref="D61:E61"/>
    <mergeCell ref="D62:E62"/>
    <mergeCell ref="C63:D63"/>
    <mergeCell ref="D64:E64"/>
    <mergeCell ref="D65:E65"/>
    <mergeCell ref="D66:E66"/>
    <mergeCell ref="C67:D67"/>
    <mergeCell ref="D68:E68"/>
    <mergeCell ref="D69:E69"/>
    <mergeCell ref="C70:D70"/>
    <mergeCell ref="D71:E71"/>
    <mergeCell ref="C72:D72"/>
    <mergeCell ref="D73:E73"/>
    <mergeCell ref="D74:E74"/>
    <mergeCell ref="D75:E75"/>
    <mergeCell ref="D76:E76"/>
    <mergeCell ref="D77:E77"/>
    <mergeCell ref="D78:E78"/>
    <mergeCell ref="D79:E79"/>
    <mergeCell ref="C80:D80"/>
    <mergeCell ref="D81:E81"/>
    <mergeCell ref="D82:E82"/>
    <mergeCell ref="C83:D83"/>
    <mergeCell ref="D84:E84"/>
    <mergeCell ref="C85:D85"/>
    <mergeCell ref="D86:E86"/>
    <mergeCell ref="D87:E87"/>
    <mergeCell ref="C88:D88"/>
    <mergeCell ref="D89:E89"/>
    <mergeCell ref="C90:D90"/>
    <mergeCell ref="D91:E91"/>
    <mergeCell ref="C92:D92"/>
    <mergeCell ref="D93:E93"/>
    <mergeCell ref="D94:E94"/>
    <mergeCell ref="D95:E95"/>
    <mergeCell ref="D96:E96"/>
    <mergeCell ref="D97:E97"/>
    <mergeCell ref="D98:E98"/>
    <mergeCell ref="C99:D99"/>
    <mergeCell ref="D100:E100"/>
    <mergeCell ref="C101:D101"/>
    <mergeCell ref="D102:E102"/>
    <mergeCell ref="D103:E103"/>
    <mergeCell ref="D104:E104"/>
    <mergeCell ref="D105:E105"/>
    <mergeCell ref="D106:E106"/>
    <mergeCell ref="C107:D107"/>
    <mergeCell ref="D108:E108"/>
    <mergeCell ref="C109:D109"/>
    <mergeCell ref="D110:E110"/>
    <mergeCell ref="D111:E111"/>
    <mergeCell ref="C112:D112"/>
    <mergeCell ref="D113:E113"/>
    <mergeCell ref="C114:D114"/>
    <mergeCell ref="D115:E115"/>
    <mergeCell ref="C116:D116"/>
    <mergeCell ref="D117:E117"/>
    <mergeCell ref="C118:D118"/>
    <mergeCell ref="D119:E119"/>
    <mergeCell ref="D120:E120"/>
    <mergeCell ref="D121:E121"/>
    <mergeCell ref="C122:D122"/>
    <mergeCell ref="C123:D123"/>
    <mergeCell ref="D124:E124"/>
    <mergeCell ref="C125:D125"/>
    <mergeCell ref="D126:E126"/>
    <mergeCell ref="C127:D127"/>
    <mergeCell ref="D128:E128"/>
    <mergeCell ref="C129:D129"/>
    <mergeCell ref="D130:E130"/>
    <mergeCell ref="C131:D131"/>
    <mergeCell ref="D132:E132"/>
    <mergeCell ref="C133:D133"/>
    <mergeCell ref="D134:E134"/>
    <mergeCell ref="C135:D135"/>
    <mergeCell ref="D136:E136"/>
    <mergeCell ref="C137:D137"/>
    <mergeCell ref="D138:E138"/>
    <mergeCell ref="C139:D139"/>
    <mergeCell ref="D140:E140"/>
    <mergeCell ref="C141:D141"/>
    <mergeCell ref="D142:E142"/>
    <mergeCell ref="C143:D143"/>
    <mergeCell ref="D144:E144"/>
    <mergeCell ref="C145:D145"/>
    <mergeCell ref="D146:E146"/>
    <mergeCell ref="C147:D147"/>
    <mergeCell ref="D148:E148"/>
    <mergeCell ref="C149:D149"/>
    <mergeCell ref="D150:E150"/>
    <mergeCell ref="C151:D151"/>
    <mergeCell ref="D152:E152"/>
    <mergeCell ref="C153:D153"/>
    <mergeCell ref="D154:E154"/>
    <mergeCell ref="C155:D155"/>
    <mergeCell ref="C156:D156"/>
    <mergeCell ref="D157:E157"/>
    <mergeCell ref="C158:D158"/>
    <mergeCell ref="D159:E159"/>
    <mergeCell ref="C160:D160"/>
    <mergeCell ref="D161:E161"/>
    <mergeCell ref="C162:D162"/>
    <mergeCell ref="D163:E163"/>
    <mergeCell ref="C164:D164"/>
    <mergeCell ref="C165:D165"/>
    <mergeCell ref="D166:E166"/>
    <mergeCell ref="C167:D167"/>
    <mergeCell ref="D168:E168"/>
    <mergeCell ref="C169:D169"/>
    <mergeCell ref="D170:E170"/>
    <mergeCell ref="C171:D171"/>
    <mergeCell ref="C172:D172"/>
    <mergeCell ref="D173:E173"/>
    <mergeCell ref="C174:D174"/>
    <mergeCell ref="C175:D175"/>
    <mergeCell ref="D176:E176"/>
    <mergeCell ref="C177:D177"/>
    <mergeCell ref="D178:E178"/>
    <mergeCell ref="C179:D179"/>
    <mergeCell ref="D180:E180"/>
    <mergeCell ref="C181:D181"/>
    <mergeCell ref="D182:E182"/>
    <mergeCell ref="C183:D183"/>
    <mergeCell ref="C184:D184"/>
    <mergeCell ref="D185:E185"/>
    <mergeCell ref="C186:D186"/>
    <mergeCell ref="D187:E187"/>
    <mergeCell ref="C188:D188"/>
    <mergeCell ref="D189:E189"/>
    <mergeCell ref="D190:E190"/>
    <mergeCell ref="C191:D191"/>
    <mergeCell ref="C192:D192"/>
    <mergeCell ref="D193:E193"/>
    <mergeCell ref="C194:D194"/>
    <mergeCell ref="D195:E195"/>
    <mergeCell ref="D196:E196"/>
    <mergeCell ref="C197:D197"/>
    <mergeCell ref="D198:E198"/>
    <mergeCell ref="D199:E199"/>
    <mergeCell ref="D200:E200"/>
    <mergeCell ref="C201:D201"/>
    <mergeCell ref="C202:D202"/>
    <mergeCell ref="D203:E203"/>
    <mergeCell ref="D204:E204"/>
    <mergeCell ref="C205:D205"/>
    <mergeCell ref="D206:E206"/>
    <mergeCell ref="C207:D207"/>
    <mergeCell ref="D208:E208"/>
    <mergeCell ref="D209:E209"/>
    <mergeCell ref="D210:E210"/>
    <mergeCell ref="C211:D211"/>
    <mergeCell ref="D212:E212"/>
    <mergeCell ref="C213:D213"/>
    <mergeCell ref="D214:E214"/>
    <mergeCell ref="C215:D215"/>
    <mergeCell ref="D216:E216"/>
    <mergeCell ref="C217:D217"/>
    <mergeCell ref="D218:E218"/>
    <mergeCell ref="C219:D219"/>
    <mergeCell ref="D220:E220"/>
    <mergeCell ref="C221:D221"/>
    <mergeCell ref="C222:D222"/>
    <mergeCell ref="D223:E223"/>
    <mergeCell ref="C224:D224"/>
    <mergeCell ref="D225:E225"/>
    <mergeCell ref="D226:E226"/>
    <mergeCell ref="C227:D227"/>
    <mergeCell ref="D228:E228"/>
    <mergeCell ref="C229:D229"/>
    <mergeCell ref="D230:E230"/>
    <mergeCell ref="C231:D231"/>
    <mergeCell ref="C232:D232"/>
    <mergeCell ref="C233:D233"/>
    <mergeCell ref="D234:E234"/>
    <mergeCell ref="D235:E235"/>
    <mergeCell ref="D236:E236"/>
    <mergeCell ref="C237:D237"/>
    <mergeCell ref="D238:E238"/>
    <mergeCell ref="C239:D239"/>
    <mergeCell ref="D240:E240"/>
    <mergeCell ref="C241:D241"/>
    <mergeCell ref="D242:E242"/>
    <mergeCell ref="C243:D243"/>
    <mergeCell ref="D244:E244"/>
    <mergeCell ref="C245:D245"/>
    <mergeCell ref="D246:E246"/>
    <mergeCell ref="C247:D247"/>
    <mergeCell ref="D248:E248"/>
    <mergeCell ref="D249:E249"/>
    <mergeCell ref="C250:D250"/>
    <mergeCell ref="C251:D251"/>
    <mergeCell ref="D252:E252"/>
    <mergeCell ref="C253:D253"/>
    <mergeCell ref="D254:E254"/>
    <mergeCell ref="C255:D255"/>
    <mergeCell ref="D256:E256"/>
    <mergeCell ref="C257:D257"/>
    <mergeCell ref="D258:E258"/>
    <mergeCell ref="C259:D259"/>
    <mergeCell ref="D260:E260"/>
    <mergeCell ref="A263:H263"/>
  </mergeCells>
  <printOptions/>
  <pageMargins left="0.394" right="0.394" top="0.591" bottom="0.591" header="0.5" footer="0.5"/>
  <pageSetup fitToHeight="0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00390625" style="0" customWidth="1"/>
    <col min="5" max="5" width="58.00390625" style="0" customWidth="1"/>
    <col min="6" max="6" width="5.7109375" style="0" customWidth="1"/>
    <col min="7" max="7" width="6.57421875" style="0" customWidth="1"/>
    <col min="9" max="9" width="13.28125" style="0" customWidth="1"/>
  </cols>
  <sheetData>
    <row r="1" spans="1:9" ht="23.25">
      <c r="A1" s="268" t="s">
        <v>650</v>
      </c>
      <c r="B1" s="268"/>
      <c r="C1" s="268"/>
      <c r="D1" s="268"/>
      <c r="E1" s="268"/>
      <c r="F1" s="268"/>
      <c r="G1" s="268"/>
      <c r="H1" s="268"/>
      <c r="I1" s="268"/>
    </row>
    <row r="2" spans="1:9" ht="12.75">
      <c r="A2" s="269"/>
      <c r="B2" s="269"/>
      <c r="C2" s="269"/>
      <c r="D2" s="269"/>
      <c r="E2" s="269"/>
      <c r="F2" s="269"/>
      <c r="G2" s="269"/>
      <c r="H2" s="269"/>
      <c r="I2" s="269"/>
    </row>
    <row r="3" spans="1:9" ht="15">
      <c r="A3" s="104"/>
      <c r="B3" s="105" t="s">
        <v>651</v>
      </c>
      <c r="C3" s="105"/>
      <c r="D3" s="105" t="s">
        <v>681</v>
      </c>
      <c r="E3" s="106"/>
      <c r="F3" s="104"/>
      <c r="G3" s="104"/>
      <c r="H3" s="107"/>
      <c r="I3" s="107"/>
    </row>
    <row r="4" spans="1:9" ht="15">
      <c r="A4" s="104"/>
      <c r="B4" s="105" t="s">
        <v>652</v>
      </c>
      <c r="C4" s="105"/>
      <c r="D4" s="105" t="s">
        <v>653</v>
      </c>
      <c r="E4" s="106"/>
      <c r="F4" s="104"/>
      <c r="G4" s="104"/>
      <c r="H4" s="107"/>
      <c r="I4" s="107"/>
    </row>
    <row r="5" spans="1:9" ht="15">
      <c r="A5" s="104"/>
      <c r="B5" s="105" t="s">
        <v>654</v>
      </c>
      <c r="C5" s="105"/>
      <c r="D5" s="105" t="s">
        <v>655</v>
      </c>
      <c r="E5" s="106"/>
      <c r="F5" s="104"/>
      <c r="G5" s="104"/>
      <c r="H5" s="107"/>
      <c r="I5" s="107"/>
    </row>
    <row r="6" spans="1:9" ht="15">
      <c r="A6" s="104"/>
      <c r="B6" s="105" t="s">
        <v>656</v>
      </c>
      <c r="C6" s="105"/>
      <c r="D6" s="108" t="s">
        <v>657</v>
      </c>
      <c r="E6" s="106"/>
      <c r="F6" s="104"/>
      <c r="G6" s="104"/>
      <c r="H6" s="107"/>
      <c r="I6" s="107"/>
    </row>
    <row r="7" spans="1:9" ht="15">
      <c r="A7" s="104"/>
      <c r="B7" s="105" t="s">
        <v>658</v>
      </c>
      <c r="C7" s="105"/>
      <c r="D7" s="109" t="s">
        <v>659</v>
      </c>
      <c r="E7" s="106"/>
      <c r="F7" s="104"/>
      <c r="G7" s="104"/>
      <c r="H7" s="107"/>
      <c r="I7" s="107"/>
    </row>
    <row r="8" spans="1:9" ht="15">
      <c r="A8" s="104"/>
      <c r="B8" s="108" t="s">
        <v>660</v>
      </c>
      <c r="C8" s="108"/>
      <c r="D8" s="105" t="s">
        <v>661</v>
      </c>
      <c r="E8" s="106"/>
      <c r="F8" s="104"/>
      <c r="G8" s="104"/>
      <c r="H8" s="107"/>
      <c r="I8" s="107"/>
    </row>
    <row r="9" spans="1:9" ht="15">
      <c r="A9" s="104"/>
      <c r="B9" s="105" t="s">
        <v>662</v>
      </c>
      <c r="C9" s="105"/>
      <c r="D9" s="105" t="s">
        <v>663</v>
      </c>
      <c r="E9" s="106"/>
      <c r="F9" s="104"/>
      <c r="G9" s="104"/>
      <c r="H9" s="107"/>
      <c r="I9" s="107"/>
    </row>
    <row r="10" spans="1:9" ht="13.5" thickBot="1">
      <c r="A10" s="269"/>
      <c r="B10" s="269"/>
      <c r="C10" s="269"/>
      <c r="D10" s="269"/>
      <c r="E10" s="269"/>
      <c r="F10" s="269"/>
      <c r="G10" s="269"/>
      <c r="H10" s="269"/>
      <c r="I10" s="269"/>
    </row>
    <row r="11" spans="1:9" ht="15.75" thickBot="1">
      <c r="A11" s="110" t="s">
        <v>664</v>
      </c>
      <c r="B11" s="111"/>
      <c r="C11" s="112" t="s">
        <v>665</v>
      </c>
      <c r="D11" s="112"/>
      <c r="E11" s="113"/>
      <c r="F11" s="114" t="s">
        <v>504</v>
      </c>
      <c r="G11" s="114" t="s">
        <v>666</v>
      </c>
      <c r="H11" s="114" t="s">
        <v>667</v>
      </c>
      <c r="I11" s="114" t="s">
        <v>668</v>
      </c>
    </row>
    <row r="12" spans="1:9" ht="14.25">
      <c r="A12" s="115">
        <v>1</v>
      </c>
      <c r="B12" s="116" t="s">
        <v>669</v>
      </c>
      <c r="C12" s="116"/>
      <c r="D12" s="116"/>
      <c r="E12" s="117"/>
      <c r="F12" s="118" t="s">
        <v>510</v>
      </c>
      <c r="G12" s="118">
        <v>1</v>
      </c>
      <c r="H12" s="157">
        <v>0</v>
      </c>
      <c r="I12" s="119">
        <f>G12*H12</f>
        <v>0</v>
      </c>
    </row>
    <row r="13" spans="1:9" ht="12.75">
      <c r="A13" s="120">
        <v>2</v>
      </c>
      <c r="B13" s="121" t="s">
        <v>686</v>
      </c>
      <c r="C13" s="122"/>
      <c r="D13" s="123"/>
      <c r="E13" s="124"/>
      <c r="F13" s="125" t="s">
        <v>508</v>
      </c>
      <c r="G13" s="125">
        <v>21</v>
      </c>
      <c r="H13" s="158">
        <v>0</v>
      </c>
      <c r="I13" s="126">
        <f aca="true" t="shared" si="0" ref="I13:I32">G13*H13</f>
        <v>0</v>
      </c>
    </row>
    <row r="14" spans="1:9" ht="12.75">
      <c r="A14" s="120">
        <v>3</v>
      </c>
      <c r="B14" s="121" t="s">
        <v>687</v>
      </c>
      <c r="C14" s="122"/>
      <c r="D14" s="123"/>
      <c r="E14" s="124"/>
      <c r="F14" s="125" t="s">
        <v>508</v>
      </c>
      <c r="G14" s="125">
        <v>77</v>
      </c>
      <c r="H14" s="158">
        <v>0</v>
      </c>
      <c r="I14" s="126">
        <f t="shared" si="0"/>
        <v>0</v>
      </c>
    </row>
    <row r="15" spans="1:9" ht="12.75">
      <c r="A15" s="120">
        <v>4</v>
      </c>
      <c r="B15" s="121" t="s">
        <v>688</v>
      </c>
      <c r="C15" s="122"/>
      <c r="D15" s="123"/>
      <c r="E15" s="124"/>
      <c r="F15" s="125" t="s">
        <v>508</v>
      </c>
      <c r="G15" s="125">
        <v>23</v>
      </c>
      <c r="H15" s="158">
        <v>0</v>
      </c>
      <c r="I15" s="126">
        <f t="shared" si="0"/>
        <v>0</v>
      </c>
    </row>
    <row r="16" spans="1:9" ht="12.75">
      <c r="A16" s="120">
        <v>5</v>
      </c>
      <c r="B16" s="122" t="s">
        <v>670</v>
      </c>
      <c r="C16" s="122"/>
      <c r="D16" s="123"/>
      <c r="E16" s="127"/>
      <c r="F16" s="125" t="s">
        <v>508</v>
      </c>
      <c r="G16" s="128">
        <v>23</v>
      </c>
      <c r="H16" s="159">
        <v>0</v>
      </c>
      <c r="I16" s="126">
        <f>H16*G16</f>
        <v>0</v>
      </c>
    </row>
    <row r="17" spans="1:9" ht="12.75">
      <c r="A17" s="120">
        <v>6</v>
      </c>
      <c r="B17" s="129" t="s">
        <v>689</v>
      </c>
      <c r="C17" s="129"/>
      <c r="D17" s="129"/>
      <c r="E17" s="130"/>
      <c r="F17" s="131" t="s">
        <v>510</v>
      </c>
      <c r="G17" s="128">
        <v>10</v>
      </c>
      <c r="H17" s="160">
        <v>0</v>
      </c>
      <c r="I17" s="126">
        <f t="shared" si="0"/>
        <v>0</v>
      </c>
    </row>
    <row r="18" spans="1:9" ht="12.75">
      <c r="A18" s="120">
        <v>7</v>
      </c>
      <c r="B18" s="129" t="s">
        <v>690</v>
      </c>
      <c r="C18" s="129"/>
      <c r="D18" s="129"/>
      <c r="E18" s="130"/>
      <c r="F18" s="131" t="s">
        <v>510</v>
      </c>
      <c r="G18" s="128">
        <v>4</v>
      </c>
      <c r="H18" s="160">
        <v>0</v>
      </c>
      <c r="I18" s="126">
        <f t="shared" si="0"/>
        <v>0</v>
      </c>
    </row>
    <row r="19" spans="1:9" ht="12.75">
      <c r="A19" s="120">
        <v>8</v>
      </c>
      <c r="B19" s="122" t="s">
        <v>699</v>
      </c>
      <c r="C19" s="122"/>
      <c r="D19" s="123"/>
      <c r="E19" s="127"/>
      <c r="F19" s="125" t="s">
        <v>510</v>
      </c>
      <c r="G19" s="128">
        <v>4</v>
      </c>
      <c r="H19" s="161">
        <v>0</v>
      </c>
      <c r="I19" s="126">
        <f>H19*G19</f>
        <v>0</v>
      </c>
    </row>
    <row r="20" spans="1:9" ht="12.75">
      <c r="A20" s="120">
        <v>9</v>
      </c>
      <c r="B20" s="122" t="s">
        <v>691</v>
      </c>
      <c r="C20" s="122"/>
      <c r="D20" s="123"/>
      <c r="E20" s="127"/>
      <c r="F20" s="125" t="s">
        <v>510</v>
      </c>
      <c r="G20" s="128">
        <v>1</v>
      </c>
      <c r="H20" s="162">
        <v>0</v>
      </c>
      <c r="I20" s="126">
        <f>H20*G20</f>
        <v>0</v>
      </c>
    </row>
    <row r="21" spans="1:9" ht="12.75">
      <c r="A21" s="120">
        <v>10</v>
      </c>
      <c r="B21" s="132" t="s">
        <v>692</v>
      </c>
      <c r="C21" s="132"/>
      <c r="D21" s="132"/>
      <c r="E21" s="133"/>
      <c r="F21" s="134" t="s">
        <v>510</v>
      </c>
      <c r="G21" s="125">
        <v>5</v>
      </c>
      <c r="H21" s="163">
        <v>0</v>
      </c>
      <c r="I21" s="126">
        <f t="shared" si="0"/>
        <v>0</v>
      </c>
    </row>
    <row r="22" spans="1:9" ht="12.75">
      <c r="A22" s="120">
        <v>11</v>
      </c>
      <c r="B22" s="132" t="s">
        <v>697</v>
      </c>
      <c r="C22" s="132"/>
      <c r="D22" s="132"/>
      <c r="E22" s="133"/>
      <c r="F22" s="134" t="s">
        <v>510</v>
      </c>
      <c r="G22" s="125">
        <v>5</v>
      </c>
      <c r="H22" s="163">
        <v>0</v>
      </c>
      <c r="I22" s="126">
        <f>G22*H22</f>
        <v>0</v>
      </c>
    </row>
    <row r="23" spans="1:9" ht="12.75">
      <c r="A23" s="120">
        <v>12</v>
      </c>
      <c r="B23" s="132" t="s">
        <v>698</v>
      </c>
      <c r="C23" s="132"/>
      <c r="D23" s="132"/>
      <c r="E23" s="133"/>
      <c r="F23" s="134" t="s">
        <v>510</v>
      </c>
      <c r="G23" s="125">
        <v>5</v>
      </c>
      <c r="H23" s="163">
        <v>0</v>
      </c>
      <c r="I23" s="126">
        <f t="shared" si="0"/>
        <v>0</v>
      </c>
    </row>
    <row r="24" spans="1:9" ht="12.75">
      <c r="A24" s="120">
        <v>13</v>
      </c>
      <c r="B24" s="132" t="s">
        <v>693</v>
      </c>
      <c r="C24" s="132"/>
      <c r="D24" s="132"/>
      <c r="E24" s="133"/>
      <c r="F24" s="134" t="s">
        <v>510</v>
      </c>
      <c r="G24" s="125">
        <v>5</v>
      </c>
      <c r="H24" s="163">
        <v>0</v>
      </c>
      <c r="I24" s="126">
        <f t="shared" si="0"/>
        <v>0</v>
      </c>
    </row>
    <row r="25" spans="1:9" ht="12.75">
      <c r="A25" s="120">
        <v>14</v>
      </c>
      <c r="B25" s="132" t="s">
        <v>694</v>
      </c>
      <c r="C25" s="132"/>
      <c r="D25" s="132"/>
      <c r="E25" s="133"/>
      <c r="F25" s="134" t="s">
        <v>510</v>
      </c>
      <c r="G25" s="125">
        <v>12</v>
      </c>
      <c r="H25" s="163">
        <v>0</v>
      </c>
      <c r="I25" s="126">
        <f t="shared" si="0"/>
        <v>0</v>
      </c>
    </row>
    <row r="26" spans="1:9" ht="12.75">
      <c r="A26" s="120">
        <v>15</v>
      </c>
      <c r="B26" s="132" t="s">
        <v>695</v>
      </c>
      <c r="C26" s="132"/>
      <c r="D26" s="132"/>
      <c r="E26" s="133"/>
      <c r="F26" s="134" t="s">
        <v>510</v>
      </c>
      <c r="G26" s="125">
        <v>20</v>
      </c>
      <c r="H26" s="163">
        <v>0</v>
      </c>
      <c r="I26" s="126">
        <f t="shared" si="0"/>
        <v>0</v>
      </c>
    </row>
    <row r="27" spans="1:9" ht="12.75">
      <c r="A27" s="120">
        <v>16</v>
      </c>
      <c r="B27" s="132" t="s">
        <v>696</v>
      </c>
      <c r="C27" s="132"/>
      <c r="D27" s="132"/>
      <c r="E27" s="133"/>
      <c r="F27" s="134" t="s">
        <v>510</v>
      </c>
      <c r="G27" s="125">
        <v>40</v>
      </c>
      <c r="H27" s="163">
        <v>0</v>
      </c>
      <c r="I27" s="126">
        <f t="shared" si="0"/>
        <v>0</v>
      </c>
    </row>
    <row r="28" spans="1:9" ht="12.75">
      <c r="A28" s="120">
        <v>17</v>
      </c>
      <c r="B28" s="132" t="s">
        <v>671</v>
      </c>
      <c r="C28" s="132"/>
      <c r="D28" s="132"/>
      <c r="E28" s="133"/>
      <c r="F28" s="134" t="s">
        <v>672</v>
      </c>
      <c r="G28" s="125">
        <v>1</v>
      </c>
      <c r="H28" s="163">
        <v>0</v>
      </c>
      <c r="I28" s="126">
        <f t="shared" si="0"/>
        <v>0</v>
      </c>
    </row>
    <row r="29" spans="1:9" ht="14.25">
      <c r="A29" s="120">
        <v>18</v>
      </c>
      <c r="B29" s="132" t="s">
        <v>673</v>
      </c>
      <c r="C29" s="132"/>
      <c r="D29" s="132"/>
      <c r="E29" s="133"/>
      <c r="F29" s="134" t="s">
        <v>672</v>
      </c>
      <c r="G29" s="125">
        <v>1</v>
      </c>
      <c r="H29" s="163">
        <v>0</v>
      </c>
      <c r="I29" s="126">
        <f t="shared" si="0"/>
        <v>0</v>
      </c>
    </row>
    <row r="30" spans="1:9" ht="12.75">
      <c r="A30" s="120">
        <v>19</v>
      </c>
      <c r="B30" s="132" t="s">
        <v>674</v>
      </c>
      <c r="C30" s="132"/>
      <c r="D30" s="132"/>
      <c r="E30" s="133"/>
      <c r="F30" s="134" t="s">
        <v>672</v>
      </c>
      <c r="G30" s="125">
        <v>1</v>
      </c>
      <c r="H30" s="163">
        <v>0</v>
      </c>
      <c r="I30" s="126">
        <f t="shared" si="0"/>
        <v>0</v>
      </c>
    </row>
    <row r="31" spans="1:9" ht="12.75">
      <c r="A31" s="120">
        <v>20</v>
      </c>
      <c r="B31" s="132" t="s">
        <v>675</v>
      </c>
      <c r="C31" s="132"/>
      <c r="D31" s="132"/>
      <c r="E31" s="133"/>
      <c r="F31" s="134" t="s">
        <v>672</v>
      </c>
      <c r="G31" s="125">
        <v>1</v>
      </c>
      <c r="H31" s="163">
        <v>0</v>
      </c>
      <c r="I31" s="126">
        <f t="shared" si="0"/>
        <v>0</v>
      </c>
    </row>
    <row r="32" spans="1:9" ht="13.5" thickBot="1">
      <c r="A32" s="120">
        <v>21</v>
      </c>
      <c r="B32" s="135" t="s">
        <v>676</v>
      </c>
      <c r="C32" s="135"/>
      <c r="D32" s="135"/>
      <c r="E32" s="136"/>
      <c r="F32" s="137" t="s">
        <v>672</v>
      </c>
      <c r="G32" s="138">
        <v>1</v>
      </c>
      <c r="H32" s="164">
        <v>0</v>
      </c>
      <c r="I32" s="139">
        <f t="shared" si="0"/>
        <v>0</v>
      </c>
    </row>
    <row r="33" spans="1:9" ht="15.75" thickBot="1">
      <c r="A33" s="140"/>
      <c r="B33" s="141"/>
      <c r="C33" s="142"/>
      <c r="D33" s="142"/>
      <c r="E33" s="143"/>
      <c r="F33" s="114"/>
      <c r="G33" s="114"/>
      <c r="H33" s="144" t="s">
        <v>677</v>
      </c>
      <c r="I33" s="145">
        <f>SUM(I12:I32)</f>
        <v>0</v>
      </c>
    </row>
    <row r="34" spans="1:9" ht="12.75">
      <c r="A34" s="146"/>
      <c r="B34" s="147"/>
      <c r="C34" s="148"/>
      <c r="D34" s="148"/>
      <c r="E34" s="148"/>
      <c r="F34" s="147"/>
      <c r="G34" s="147"/>
      <c r="H34" s="149"/>
      <c r="I34" s="150"/>
    </row>
    <row r="35" spans="1:9" ht="12.75">
      <c r="A35" s="146" t="s">
        <v>121</v>
      </c>
      <c r="B35" s="151"/>
      <c r="C35" s="151"/>
      <c r="D35" s="151"/>
      <c r="E35" s="151"/>
      <c r="F35" s="151"/>
      <c r="G35" s="151"/>
      <c r="H35" s="152"/>
      <c r="I35" s="152"/>
    </row>
    <row r="36" spans="1:9" ht="12.75">
      <c r="A36" s="146" t="s">
        <v>678</v>
      </c>
      <c r="B36" s="151"/>
      <c r="C36" s="151"/>
      <c r="D36" s="151"/>
      <c r="E36" s="151"/>
      <c r="F36" s="151"/>
      <c r="G36" s="151"/>
      <c r="H36" s="152"/>
      <c r="I36" s="152"/>
    </row>
    <row r="37" spans="1:9" ht="12.75" customHeight="1">
      <c r="A37" s="269" t="s">
        <v>679</v>
      </c>
      <c r="B37" s="269"/>
      <c r="C37" s="269"/>
      <c r="D37" s="269"/>
      <c r="E37" s="269"/>
      <c r="F37" s="269"/>
      <c r="G37" s="269"/>
      <c r="H37" s="269"/>
      <c r="I37" s="269"/>
    </row>
    <row r="38" spans="1:9" ht="12.75">
      <c r="A38" s="269"/>
      <c r="B38" s="269"/>
      <c r="C38" s="269"/>
      <c r="D38" s="269"/>
      <c r="E38" s="269"/>
      <c r="F38" s="269"/>
      <c r="G38" s="269"/>
      <c r="H38" s="269"/>
      <c r="I38" s="269"/>
    </row>
    <row r="39" spans="1:9" ht="12.75">
      <c r="A39" s="270" t="s">
        <v>680</v>
      </c>
      <c r="B39" s="270"/>
      <c r="C39" s="270"/>
      <c r="D39" s="270"/>
      <c r="E39" s="270"/>
      <c r="F39" s="270"/>
      <c r="G39" s="270"/>
      <c r="H39" s="270"/>
      <c r="I39" s="270"/>
    </row>
  </sheetData>
  <sheetProtection password="CF56" sheet="1"/>
  <mergeCells count="5">
    <mergeCell ref="A1:I1"/>
    <mergeCell ref="A2:I2"/>
    <mergeCell ref="A10:I10"/>
    <mergeCell ref="A37:I38"/>
    <mergeCell ref="A39:I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8.00390625" style="0" customWidth="1"/>
  </cols>
  <sheetData>
    <row r="1" ht="18">
      <c r="A1" s="165" t="s">
        <v>684</v>
      </c>
    </row>
    <row r="2" ht="12.75">
      <c r="A2" s="166" t="s">
        <v>685</v>
      </c>
    </row>
  </sheetData>
  <sheetProtection password="CF5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</dc:creator>
  <cp:keywords/>
  <dc:description/>
  <cp:lastModifiedBy>Uživatel systému Windows</cp:lastModifiedBy>
  <cp:lastPrinted>2022-05-10T06:19:27Z</cp:lastPrinted>
  <dcterms:modified xsi:type="dcterms:W3CDTF">2022-05-30T07:13:48Z</dcterms:modified>
  <cp:category/>
  <cp:version/>
  <cp:contentType/>
  <cp:contentStatus/>
</cp:coreProperties>
</file>