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60" windowWidth="19035" windowHeight="11760"/>
  </bookViews>
  <sheets>
    <sheet name="Stavební soupis prací" sheetId="1" r:id="rId1"/>
    <sheet name="Stavební soupis prac - součet" sheetId="2" r:id="rId2"/>
    <sheet name="Krycí list soupisu prac" sheetId="3" r:id="rId3"/>
    <sheet name="VORN" sheetId="4" r:id="rId4"/>
  </sheets>
  <definedNames>
    <definedName name="vorn_sum">VORN!$I$37:$I$37</definedName>
  </definedNames>
  <calcPr calcId="125725"/>
</workbook>
</file>

<file path=xl/calcChain.xml><?xml version="1.0" encoding="utf-8"?>
<calcChain xmlns="http://schemas.openxmlformats.org/spreadsheetml/2006/main">
  <c r="K49" i="1"/>
  <c r="I49"/>
  <c r="H49" s="1"/>
  <c r="G49"/>
  <c r="F22" i="3"/>
  <c r="S12" i="1"/>
  <c r="T12"/>
  <c r="U12"/>
  <c r="V12"/>
  <c r="W12"/>
  <c r="I13"/>
  <c r="K13"/>
  <c r="N13"/>
  <c r="Y13"/>
  <c r="Z13"/>
  <c r="AD13"/>
  <c r="G13" s="1"/>
  <c r="AE13"/>
  <c r="I16"/>
  <c r="K16"/>
  <c r="N16"/>
  <c r="Y16"/>
  <c r="Z16"/>
  <c r="AD16"/>
  <c r="G16" s="1"/>
  <c r="AE16"/>
  <c r="I18"/>
  <c r="K18"/>
  <c r="N18"/>
  <c r="Y18"/>
  <c r="Z18"/>
  <c r="AD18"/>
  <c r="G18" s="1"/>
  <c r="AE18"/>
  <c r="I20"/>
  <c r="K20"/>
  <c r="N20"/>
  <c r="Y20"/>
  <c r="Z20"/>
  <c r="AD20"/>
  <c r="G20" s="1"/>
  <c r="AE20"/>
  <c r="I22"/>
  <c r="K22"/>
  <c r="N22"/>
  <c r="Y22"/>
  <c r="Z22"/>
  <c r="AD22"/>
  <c r="G22" s="1"/>
  <c r="AE22"/>
  <c r="I24"/>
  <c r="K24"/>
  <c r="N24"/>
  <c r="Y24"/>
  <c r="Z24"/>
  <c r="AD24"/>
  <c r="G24" s="1"/>
  <c r="AE24"/>
  <c r="S26"/>
  <c r="T26"/>
  <c r="U26"/>
  <c r="V26"/>
  <c r="W26"/>
  <c r="I27"/>
  <c r="AA27" s="1"/>
  <c r="AJ26" s="1"/>
  <c r="K27"/>
  <c r="K26" s="1"/>
  <c r="N27"/>
  <c r="O26" s="1"/>
  <c r="Y27"/>
  <c r="AH26" s="1"/>
  <c r="Z27"/>
  <c r="AI26" s="1"/>
  <c r="AD27"/>
  <c r="G27" s="1"/>
  <c r="AE27"/>
  <c r="S29"/>
  <c r="T29"/>
  <c r="U29"/>
  <c r="V29"/>
  <c r="W29"/>
  <c r="I30"/>
  <c r="K30"/>
  <c r="N30"/>
  <c r="Y30"/>
  <c r="Z30"/>
  <c r="AD30"/>
  <c r="G30" s="1"/>
  <c r="AE30"/>
  <c r="I32"/>
  <c r="K32"/>
  <c r="K29" s="1"/>
  <c r="Y32"/>
  <c r="Z32"/>
  <c r="AD32"/>
  <c r="G32" s="1"/>
  <c r="AE32"/>
  <c r="Q33"/>
  <c r="R33"/>
  <c r="U33"/>
  <c r="V33"/>
  <c r="W33"/>
  <c r="I34"/>
  <c r="AA34" s="1"/>
  <c r="K34"/>
  <c r="N34"/>
  <c r="Y34"/>
  <c r="Z34"/>
  <c r="AD34"/>
  <c r="G34" s="1"/>
  <c r="AE34"/>
  <c r="I37"/>
  <c r="AA37" s="1"/>
  <c r="K37"/>
  <c r="N37"/>
  <c r="Y37"/>
  <c r="Z37"/>
  <c r="AD37"/>
  <c r="G37" s="1"/>
  <c r="H37" s="1"/>
  <c r="AE37"/>
  <c r="I39"/>
  <c r="AA39" s="1"/>
  <c r="K39"/>
  <c r="N39"/>
  <c r="Y39"/>
  <c r="Z39"/>
  <c r="AD39"/>
  <c r="G39" s="1"/>
  <c r="H39" s="1"/>
  <c r="AE39"/>
  <c r="I41"/>
  <c r="K41"/>
  <c r="Y41"/>
  <c r="Z41"/>
  <c r="AA41"/>
  <c r="AD41"/>
  <c r="G41" s="1"/>
  <c r="AE41"/>
  <c r="I43"/>
  <c r="K43"/>
  <c r="Y43"/>
  <c r="Z43"/>
  <c r="AA43"/>
  <c r="AD43"/>
  <c r="G43" s="1"/>
  <c r="H43" s="1"/>
  <c r="N43" s="1"/>
  <c r="AE43"/>
  <c r="Q44"/>
  <c r="R44"/>
  <c r="U44"/>
  <c r="V44"/>
  <c r="W44"/>
  <c r="I45"/>
  <c r="K45"/>
  <c r="N45"/>
  <c r="Y45"/>
  <c r="Z45"/>
  <c r="AD45"/>
  <c r="G45" s="1"/>
  <c r="AE45"/>
  <c r="I47"/>
  <c r="K47"/>
  <c r="N47"/>
  <c r="Y47"/>
  <c r="Z47"/>
  <c r="AD47"/>
  <c r="G47" s="1"/>
  <c r="AE47"/>
  <c r="I51"/>
  <c r="K51"/>
  <c r="N51"/>
  <c r="Y51"/>
  <c r="Z51"/>
  <c r="AD51"/>
  <c r="G51" s="1"/>
  <c r="AE51"/>
  <c r="I53"/>
  <c r="K53"/>
  <c r="Y53"/>
  <c r="Z53"/>
  <c r="AD53"/>
  <c r="G53" s="1"/>
  <c r="AE53"/>
  <c r="Q54"/>
  <c r="R54"/>
  <c r="U54"/>
  <c r="V54"/>
  <c r="W54"/>
  <c r="I55"/>
  <c r="AA55" s="1"/>
  <c r="K55"/>
  <c r="N55"/>
  <c r="Y55"/>
  <c r="Z55"/>
  <c r="AD55"/>
  <c r="G55" s="1"/>
  <c r="AE55"/>
  <c r="I58"/>
  <c r="AA58" s="1"/>
  <c r="K58"/>
  <c r="N58"/>
  <c r="Y58"/>
  <c r="Z58"/>
  <c r="AD58"/>
  <c r="G58" s="1"/>
  <c r="H58" s="1"/>
  <c r="AE58"/>
  <c r="I60"/>
  <c r="AA60" s="1"/>
  <c r="K60"/>
  <c r="N60"/>
  <c r="Y60"/>
  <c r="Z60"/>
  <c r="AD60"/>
  <c r="G60" s="1"/>
  <c r="H60" s="1"/>
  <c r="AE60"/>
  <c r="I62"/>
  <c r="AA62" s="1"/>
  <c r="K62"/>
  <c r="N62"/>
  <c r="Y62"/>
  <c r="Z62"/>
  <c r="AD62"/>
  <c r="G62" s="1"/>
  <c r="H62" s="1"/>
  <c r="AE62"/>
  <c r="I64"/>
  <c r="AA64" s="1"/>
  <c r="K64"/>
  <c r="N64"/>
  <c r="Y64"/>
  <c r="Z64"/>
  <c r="AD64"/>
  <c r="G64" s="1"/>
  <c r="H64" s="1"/>
  <c r="AE64"/>
  <c r="I66"/>
  <c r="K66"/>
  <c r="Y66"/>
  <c r="Z66"/>
  <c r="AA66"/>
  <c r="AD66"/>
  <c r="G66" s="1"/>
  <c r="AE66"/>
  <c r="Q67"/>
  <c r="R67"/>
  <c r="U67"/>
  <c r="V67"/>
  <c r="W67"/>
  <c r="I68"/>
  <c r="K68"/>
  <c r="K67" s="1"/>
  <c r="N68"/>
  <c r="O67" s="1"/>
  <c r="Y68"/>
  <c r="AH67" s="1"/>
  <c r="Z68"/>
  <c r="AI67" s="1"/>
  <c r="AD68"/>
  <c r="G68" s="1"/>
  <c r="G67" s="1"/>
  <c r="AE68"/>
  <c r="Q70"/>
  <c r="R70"/>
  <c r="U70"/>
  <c r="V70"/>
  <c r="W70"/>
  <c r="I71"/>
  <c r="AA71" s="1"/>
  <c r="K71"/>
  <c r="N71"/>
  <c r="Y71"/>
  <c r="Z71"/>
  <c r="AD71"/>
  <c r="G71" s="1"/>
  <c r="AE71"/>
  <c r="I73"/>
  <c r="AA73" s="1"/>
  <c r="K73"/>
  <c r="N73"/>
  <c r="Y73"/>
  <c r="Z73"/>
  <c r="AD73"/>
  <c r="G73" s="1"/>
  <c r="H73" s="1"/>
  <c r="AE73"/>
  <c r="K75"/>
  <c r="S75"/>
  <c r="T75"/>
  <c r="U75"/>
  <c r="V75"/>
  <c r="W75"/>
  <c r="I76"/>
  <c r="K76"/>
  <c r="N76"/>
  <c r="O75" s="1"/>
  <c r="Y76"/>
  <c r="AH75" s="1"/>
  <c r="Z76"/>
  <c r="AI75" s="1"/>
  <c r="AD76"/>
  <c r="G76" s="1"/>
  <c r="G75" s="1"/>
  <c r="AE76"/>
  <c r="S78"/>
  <c r="T78"/>
  <c r="U78"/>
  <c r="V78"/>
  <c r="W78"/>
  <c r="I79"/>
  <c r="AA79" s="1"/>
  <c r="AJ78" s="1"/>
  <c r="K79"/>
  <c r="K78" s="1"/>
  <c r="N79"/>
  <c r="O78" s="1"/>
  <c r="Y79"/>
  <c r="AH78" s="1"/>
  <c r="Z79"/>
  <c r="AI78" s="1"/>
  <c r="AD79"/>
  <c r="G79" s="1"/>
  <c r="AE79"/>
  <c r="S81"/>
  <c r="T81"/>
  <c r="U81"/>
  <c r="V81"/>
  <c r="W81"/>
  <c r="I82"/>
  <c r="K82"/>
  <c r="N82"/>
  <c r="Y82"/>
  <c r="Z82"/>
  <c r="AD82"/>
  <c r="G82" s="1"/>
  <c r="AE82"/>
  <c r="I84"/>
  <c r="H84" s="1"/>
  <c r="K84"/>
  <c r="N84"/>
  <c r="Y84"/>
  <c r="Z84"/>
  <c r="AD84"/>
  <c r="G84" s="1"/>
  <c r="AE84"/>
  <c r="I86"/>
  <c r="K86"/>
  <c r="N86"/>
  <c r="Y86"/>
  <c r="Z86"/>
  <c r="AD86"/>
  <c r="G86" s="1"/>
  <c r="AE86"/>
  <c r="I88"/>
  <c r="H88" s="1"/>
  <c r="K88"/>
  <c r="N88"/>
  <c r="Y88"/>
  <c r="Z88"/>
  <c r="AD88"/>
  <c r="G88" s="1"/>
  <c r="AE88"/>
  <c r="S90"/>
  <c r="T90"/>
  <c r="U90"/>
  <c r="V90"/>
  <c r="W90"/>
  <c r="I91"/>
  <c r="AA91" s="1"/>
  <c r="AJ90" s="1"/>
  <c r="K91"/>
  <c r="K90" s="1"/>
  <c r="N91"/>
  <c r="O90" s="1"/>
  <c r="Y91"/>
  <c r="AH90" s="1"/>
  <c r="Z91"/>
  <c r="AI90" s="1"/>
  <c r="AD91"/>
  <c r="G91" s="1"/>
  <c r="AE91"/>
  <c r="Q93"/>
  <c r="R93"/>
  <c r="S93"/>
  <c r="T93"/>
  <c r="W93"/>
  <c r="I94"/>
  <c r="K94"/>
  <c r="N94"/>
  <c r="Y94"/>
  <c r="Z94"/>
  <c r="AD94"/>
  <c r="G94" s="1"/>
  <c r="AE94"/>
  <c r="I96"/>
  <c r="K96"/>
  <c r="N96"/>
  <c r="Y96"/>
  <c r="Z96"/>
  <c r="AD96"/>
  <c r="G96" s="1"/>
  <c r="AE96"/>
  <c r="I98"/>
  <c r="K98"/>
  <c r="N98"/>
  <c r="Y98"/>
  <c r="Z98"/>
  <c r="AD98"/>
  <c r="G98" s="1"/>
  <c r="AE98"/>
  <c r="I100"/>
  <c r="K100"/>
  <c r="N100"/>
  <c r="Y100"/>
  <c r="Z100"/>
  <c r="AD100"/>
  <c r="G100" s="1"/>
  <c r="AE100"/>
  <c r="I102"/>
  <c r="K102"/>
  <c r="N102"/>
  <c r="Y102"/>
  <c r="Z102"/>
  <c r="AD102"/>
  <c r="G102" s="1"/>
  <c r="AE102"/>
  <c r="I104"/>
  <c r="H104" s="1"/>
  <c r="K104"/>
  <c r="N104"/>
  <c r="Y104"/>
  <c r="Z104"/>
  <c r="AD104"/>
  <c r="G104" s="1"/>
  <c r="AE104"/>
  <c r="I106"/>
  <c r="K106"/>
  <c r="N106"/>
  <c r="Y106"/>
  <c r="Z106"/>
  <c r="AD106"/>
  <c r="G106" s="1"/>
  <c r="AE106"/>
  <c r="Q108"/>
  <c r="R108"/>
  <c r="S108"/>
  <c r="T108"/>
  <c r="U108"/>
  <c r="V108"/>
  <c r="W108"/>
  <c r="I109"/>
  <c r="K109"/>
  <c r="Y109"/>
  <c r="Z109"/>
  <c r="AA109"/>
  <c r="AD109"/>
  <c r="G109" s="1"/>
  <c r="AE109"/>
  <c r="I111"/>
  <c r="AA111" s="1"/>
  <c r="K111"/>
  <c r="Y111"/>
  <c r="Z111"/>
  <c r="AD111"/>
  <c r="G111" s="1"/>
  <c r="AE111"/>
  <c r="I114"/>
  <c r="K114"/>
  <c r="Y114"/>
  <c r="Z114"/>
  <c r="AA114"/>
  <c r="AD114"/>
  <c r="G114" s="1"/>
  <c r="AE114"/>
  <c r="I116"/>
  <c r="AA116" s="1"/>
  <c r="K116"/>
  <c r="N116"/>
  <c r="Y116"/>
  <c r="Z116"/>
  <c r="AD116"/>
  <c r="G116" s="1"/>
  <c r="H116" s="1"/>
  <c r="AE116"/>
  <c r="Y118"/>
  <c r="F11" i="2"/>
  <c r="I11"/>
  <c r="F12"/>
  <c r="I12"/>
  <c r="F13"/>
  <c r="I13"/>
  <c r="F14"/>
  <c r="I14"/>
  <c r="F15"/>
  <c r="I15"/>
  <c r="F16"/>
  <c r="I16"/>
  <c r="F17"/>
  <c r="I17"/>
  <c r="F18"/>
  <c r="I18"/>
  <c r="F19"/>
  <c r="I19"/>
  <c r="F20"/>
  <c r="I20"/>
  <c r="F21"/>
  <c r="I21"/>
  <c r="F22"/>
  <c r="I22"/>
  <c r="F23"/>
  <c r="I23"/>
  <c r="F24"/>
  <c r="I24"/>
  <c r="I14" i="4"/>
  <c r="I15"/>
  <c r="I16"/>
  <c r="I20"/>
  <c r="I14" i="3" s="1"/>
  <c r="I21" i="4"/>
  <c r="I15" i="3" s="1"/>
  <c r="I22" i="4"/>
  <c r="I23"/>
  <c r="I24"/>
  <c r="I25"/>
  <c r="I32"/>
  <c r="I33"/>
  <c r="I34"/>
  <c r="I35"/>
  <c r="I36"/>
  <c r="I22" i="3" l="1"/>
  <c r="I37" i="4"/>
  <c r="I24" i="3" s="1"/>
  <c r="F26" i="2"/>
  <c r="H76" i="1"/>
  <c r="H75" s="1"/>
  <c r="I26" i="4"/>
  <c r="I17"/>
  <c r="K93" i="1"/>
  <c r="K81"/>
  <c r="O70"/>
  <c r="H114"/>
  <c r="N114" s="1"/>
  <c r="K44"/>
  <c r="AJ70"/>
  <c r="AJ54"/>
  <c r="AJ33"/>
  <c r="K108"/>
  <c r="O12"/>
  <c r="AI108"/>
  <c r="AH93"/>
  <c r="AH81"/>
  <c r="AI70"/>
  <c r="AI54"/>
  <c r="AI44"/>
  <c r="AI33"/>
  <c r="AI29"/>
  <c r="C28" i="3"/>
  <c r="F28" s="1"/>
  <c r="H111" i="1"/>
  <c r="N111" s="1"/>
  <c r="AJ108"/>
  <c r="AH108"/>
  <c r="Z118"/>
  <c r="AI93"/>
  <c r="O93"/>
  <c r="AI81"/>
  <c r="O81"/>
  <c r="AH70"/>
  <c r="K70"/>
  <c r="H66"/>
  <c r="N66" s="1"/>
  <c r="O54" s="1"/>
  <c r="AH54"/>
  <c r="K54"/>
  <c r="H47"/>
  <c r="AH44"/>
  <c r="H41"/>
  <c r="N41" s="1"/>
  <c r="O33" s="1"/>
  <c r="AH33"/>
  <c r="K33"/>
  <c r="AH29"/>
  <c r="C27" i="3"/>
  <c r="K12" i="1"/>
  <c r="C20" i="3"/>
  <c r="G108" i="1"/>
  <c r="H109"/>
  <c r="G70"/>
  <c r="H71"/>
  <c r="H70" s="1"/>
  <c r="T70" s="1"/>
  <c r="S67"/>
  <c r="G54"/>
  <c r="H55"/>
  <c r="H54" s="1"/>
  <c r="T54" s="1"/>
  <c r="G33"/>
  <c r="H34"/>
  <c r="G26"/>
  <c r="H27"/>
  <c r="H26" s="1"/>
  <c r="R26" s="1"/>
  <c r="H100"/>
  <c r="H96"/>
  <c r="G93"/>
  <c r="G81"/>
  <c r="R75"/>
  <c r="H51"/>
  <c r="H45"/>
  <c r="H30"/>
  <c r="H22"/>
  <c r="H18"/>
  <c r="H13"/>
  <c r="G90"/>
  <c r="H91"/>
  <c r="H90" s="1"/>
  <c r="R90" s="1"/>
  <c r="G78"/>
  <c r="H79"/>
  <c r="H78" s="1"/>
  <c r="R78" s="1"/>
  <c r="Q75"/>
  <c r="I75"/>
  <c r="H106"/>
  <c r="H102"/>
  <c r="H98"/>
  <c r="H94"/>
  <c r="H93" s="1"/>
  <c r="V93" s="1"/>
  <c r="C19" i="3" s="1"/>
  <c r="H86" i="1"/>
  <c r="H82"/>
  <c r="H81" s="1"/>
  <c r="R81" s="1"/>
  <c r="H68"/>
  <c r="H67" s="1"/>
  <c r="T67" s="1"/>
  <c r="H53"/>
  <c r="N53" s="1"/>
  <c r="O44" s="1"/>
  <c r="G44"/>
  <c r="H32"/>
  <c r="N32" s="1"/>
  <c r="O29" s="1"/>
  <c r="G29"/>
  <c r="H24"/>
  <c r="H20"/>
  <c r="H16"/>
  <c r="G12"/>
  <c r="AA106"/>
  <c r="AA104"/>
  <c r="AA102"/>
  <c r="AA100"/>
  <c r="AA98"/>
  <c r="AA96"/>
  <c r="AA94"/>
  <c r="AJ93" s="1"/>
  <c r="AA88"/>
  <c r="AA86"/>
  <c r="AA84"/>
  <c r="AA82"/>
  <c r="AA76"/>
  <c r="AJ75" s="1"/>
  <c r="AA68"/>
  <c r="AJ67" s="1"/>
  <c r="AA53"/>
  <c r="AA51"/>
  <c r="AA47"/>
  <c r="AA45"/>
  <c r="AA32"/>
  <c r="AA30"/>
  <c r="AJ29" s="1"/>
  <c r="AA24"/>
  <c r="AA22"/>
  <c r="AA20"/>
  <c r="AA18"/>
  <c r="AA16"/>
  <c r="AA13"/>
  <c r="AH12"/>
  <c r="AI12"/>
  <c r="AJ81" l="1"/>
  <c r="AJ44"/>
  <c r="H33"/>
  <c r="F28" i="4"/>
  <c r="T33" i="1"/>
  <c r="AA118"/>
  <c r="AJ12"/>
  <c r="Q12"/>
  <c r="Q29"/>
  <c r="S44"/>
  <c r="I78"/>
  <c r="Q78"/>
  <c r="I90"/>
  <c r="Q90"/>
  <c r="U93"/>
  <c r="C18" i="3" s="1"/>
  <c r="I93" i="1"/>
  <c r="I26"/>
  <c r="Q26"/>
  <c r="I33"/>
  <c r="S33"/>
  <c r="I54"/>
  <c r="S54"/>
  <c r="I70"/>
  <c r="S70"/>
  <c r="C29" i="3"/>
  <c r="Q81" i="1"/>
  <c r="I81"/>
  <c r="H108"/>
  <c r="I108" s="1"/>
  <c r="O108" s="1"/>
  <c r="C21" i="3" s="1"/>
  <c r="N109" i="1"/>
  <c r="H12"/>
  <c r="R12" s="1"/>
  <c r="H29"/>
  <c r="R29" s="1"/>
  <c r="H44"/>
  <c r="T44" s="1"/>
  <c r="C17" i="3" s="1"/>
  <c r="I67" i="1"/>
  <c r="C16" i="3" l="1"/>
  <c r="I44" i="1"/>
  <c r="I29"/>
  <c r="I12"/>
  <c r="F29" i="3"/>
  <c r="I28"/>
  <c r="C15"/>
  <c r="C14"/>
  <c r="C22" l="1"/>
  <c r="I29"/>
  <c r="I118" i="1"/>
</calcChain>
</file>

<file path=xl/sharedStrings.xml><?xml version="1.0" encoding="utf-8"?>
<sst xmlns="http://schemas.openxmlformats.org/spreadsheetml/2006/main" count="607" uniqueCount="328">
  <si>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</si>
  <si>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</si>
  <si>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</si>
  <si>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</si>
  <si>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</si>
  <si>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</si>
  <si>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</si>
  <si>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</si>
  <si>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</si>
  <si>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</si>
  <si>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</si>
  <si>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</si>
  <si>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</si>
  <si>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</si>
  <si>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</si>
  <si>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</si>
  <si>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</si>
  <si>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</si>
  <si>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</si>
  <si>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</si>
  <si>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</si>
  <si>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</si>
  <si>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</si>
  <si>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</si>
  <si>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</si>
  <si>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</si>
  <si>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</si>
  <si>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</si>
  <si>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</si>
  <si>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</si>
  <si>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</si>
  <si>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</si>
  <si>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</si>
  <si>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</si>
  <si>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</si>
  <si>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</si>
  <si>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</si>
  <si>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</si>
  <si>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</si>
  <si>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</si>
  <si>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</si>
  <si>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</si>
  <si>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</si>
  <si>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</si>
  <si>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</si>
  <si>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</si>
  <si>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</si>
  <si>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</si>
  <si>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</si>
  <si>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</si>
  <si>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</si>
  <si>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Poznámka:</t>
  </si>
  <si>
    <t>Objekt</t>
  </si>
  <si>
    <t>Kód</t>
  </si>
  <si>
    <t>61</t>
  </si>
  <si>
    <t>28350116</t>
  </si>
  <si>
    <t>289902111R00</t>
  </si>
  <si>
    <t>610991111R00</t>
  </si>
  <si>
    <t>612409991RT2</t>
  </si>
  <si>
    <t>612423531RT2</t>
  </si>
  <si>
    <t>622481292R00</t>
  </si>
  <si>
    <t>62</t>
  </si>
  <si>
    <t>624602111R00</t>
  </si>
  <si>
    <t>63</t>
  </si>
  <si>
    <t>631312311R00</t>
  </si>
  <si>
    <t>998011001R00</t>
  </si>
  <si>
    <t>766</t>
  </si>
  <si>
    <t>61191714</t>
  </si>
  <si>
    <t>766425213R00</t>
  </si>
  <si>
    <t>766427112R00</t>
  </si>
  <si>
    <t>998766101R00</t>
  </si>
  <si>
    <t>767</t>
  </si>
  <si>
    <t>767R014VD</t>
  </si>
  <si>
    <t>767R015VD</t>
  </si>
  <si>
    <t>767R016VD</t>
  </si>
  <si>
    <t>998767101R00</t>
  </si>
  <si>
    <t>771</t>
  </si>
  <si>
    <t>59764210</t>
  </si>
  <si>
    <t>771101116R00</t>
  </si>
  <si>
    <t>771101210R00</t>
  </si>
  <si>
    <t>771212112R00</t>
  </si>
  <si>
    <t>771589793R00</t>
  </si>
  <si>
    <t>998771101R00</t>
  </si>
  <si>
    <t>783</t>
  </si>
  <si>
    <t>783636211R00</t>
  </si>
  <si>
    <t>784</t>
  </si>
  <si>
    <t>784111101R00</t>
  </si>
  <si>
    <t>784142112R00</t>
  </si>
  <si>
    <t>94</t>
  </si>
  <si>
    <t>941955002R00</t>
  </si>
  <si>
    <t>95</t>
  </si>
  <si>
    <t>952901111R00</t>
  </si>
  <si>
    <t>96</t>
  </si>
  <si>
    <t>965043331RT1</t>
  </si>
  <si>
    <t>965081713RT2</t>
  </si>
  <si>
    <t>968071125R00</t>
  </si>
  <si>
    <t>968072747R00</t>
  </si>
  <si>
    <t>97</t>
  </si>
  <si>
    <t>970241100R00</t>
  </si>
  <si>
    <t>M21</t>
  </si>
  <si>
    <t>210010105R00</t>
  </si>
  <si>
    <t>210172207R00</t>
  </si>
  <si>
    <t>210800105RT2</t>
  </si>
  <si>
    <t>35712310</t>
  </si>
  <si>
    <t>35822204</t>
  </si>
  <si>
    <t>905      R02</t>
  </si>
  <si>
    <t>S</t>
  </si>
  <si>
    <t>979082212R00</t>
  </si>
  <si>
    <t>979083117R00</t>
  </si>
  <si>
    <t>979094211R00</t>
  </si>
  <si>
    <t>979R0001VD</t>
  </si>
  <si>
    <t>Automatické vstupní dveře v areálu Gymnázia Cheb</t>
  </si>
  <si>
    <t>Škola</t>
  </si>
  <si>
    <t>st. 6594/1,6594/2 v k.ú. Cheb (650919)</t>
  </si>
  <si>
    <t>Zkrácený popis</t>
  </si>
  <si>
    <t>Rozměry</t>
  </si>
  <si>
    <t>Úprava povrchů vnitřní</t>
  </si>
  <si>
    <t>Profil okenní začišťovací bez tkani., 6mm dl. 2,4m</t>
  </si>
  <si>
    <t>4*5,54+8*3,255   Styk ámu s omítkou, viz TZ</t>
  </si>
  <si>
    <t>;ztratné 20%; 9,64</t>
  </si>
  <si>
    <t>Otlučení nebo odsekání omítek stěn</t>
  </si>
  <si>
    <t>0,8   Lokální zvětralá omítka, viz TZ</t>
  </si>
  <si>
    <t>Zakrývání výplní vnitřních otvorů</t>
  </si>
  <si>
    <t>5,54*3,255*2+3,255*1*8   celá ploch na str haly v zádveřích svislé pruhy š.1m u ostění</t>
  </si>
  <si>
    <t>Začištění omítek kolem oken,dveří apod.</t>
  </si>
  <si>
    <t>2*5,540+6*3,255   Ostění, nadpraží, Viz TZ</t>
  </si>
  <si>
    <t>Omítka rýh stěn MV o šířce do 15 cm, štuková</t>
  </si>
  <si>
    <t>4*3,255+2*5,54+0,8   V místě rámu, viz TZ</t>
  </si>
  <si>
    <t>Montáž výztužné lišty okenní a podparapetní</t>
  </si>
  <si>
    <t>Úprava povrchů vnější</t>
  </si>
  <si>
    <t>Tmelení spár rámu oken s omítkou spárovací maltou, na bázi disperzních polymerů, přetiratelnou,adhezní</t>
  </si>
  <si>
    <t>2*5,54+4*3,255   Ostění a nadpr. venk., viz TZ</t>
  </si>
  <si>
    <t>Podlahy a podlahové konstrukce</t>
  </si>
  <si>
    <t>Mazanina betonová tl .5 - 8 cm C -/7,5</t>
  </si>
  <si>
    <t>2*1,2*0,9*0,05   Vana pod rohože, viz TZ</t>
  </si>
  <si>
    <t>Přesun hmot pro budovy zděné výšky do 6 m</t>
  </si>
  <si>
    <t>Konstrukce truhlářské</t>
  </si>
  <si>
    <t>Palubka obkladová BO tloušťka 15 šíře 116 mm A/B</t>
  </si>
  <si>
    <t>5,54*0,4*2   Dopnění u dveří, viz TZ</t>
  </si>
  <si>
    <t>;ztratné 10%; 0,443</t>
  </si>
  <si>
    <t>Obložení podhledů palubkami</t>
  </si>
  <si>
    <t>5,54*0,4*2   Dopnění u dveří</t>
  </si>
  <si>
    <t>Podkladový rošt pro obložení podhledů</t>
  </si>
  <si>
    <t>5,54*2*2   Dopnění u dveří, viz TZ</t>
  </si>
  <si>
    <t>Přesun hmot pro truhlářské konstr., výšky do 6 m</t>
  </si>
  <si>
    <t>18,9333</t>
  </si>
  <si>
    <t>Konstrukce doplňkové stavební (zámečnické)</t>
  </si>
  <si>
    <t>2   viz výkres, TZ</t>
  </si>
  <si>
    <t>Dodávka a montáž vstupní zapuště rohože 1,2x0,9m, hl.3cm, z pruž. gumových vlnovek, přinýtovaných ke kovovým páskům, včetně kovového rámečku  L30/30mm</t>
  </si>
  <si>
    <t>2   Viz TZ</t>
  </si>
  <si>
    <t>Přesun hmot pro zámečnické konstr., výšky do 6 m</t>
  </si>
  <si>
    <t>Podlahy z dlaždic</t>
  </si>
  <si>
    <t>Dlažba  hladká protiskl. 200x200x9 mm,Nasákavost  pod 0,5%, vyráběné podle ČSN EN 14411 Bla UGL, příloha G, součinitel smykového tření ne</t>
  </si>
  <si>
    <t>4*5,54*0,2+4*(1,4+1,1)+2   Pod proskl. stěnami, okolo rohoží, lokální poruchy viz TZ</t>
  </si>
  <si>
    <t>;ztratné 5%; 0,8215</t>
  </si>
  <si>
    <t>Vyrovnání podkladů samonivel. hmotou tl. do 30 mm</t>
  </si>
  <si>
    <t>2*1,2*0,9   Vana pod rohože, viz TZ</t>
  </si>
  <si>
    <t>Penetrace podkladu pod dlažby</t>
  </si>
  <si>
    <t>Kladení dlažby keramické do TM, vel. do 200x200 mm, včetně flexibilního tmelu</t>
  </si>
  <si>
    <t>Příplatek za spárovací hmotu - plošně</t>
  </si>
  <si>
    <t>Přesun hmot pro podlahy z dlaždic, výšky do 6 m</t>
  </si>
  <si>
    <t>Nátěry</t>
  </si>
  <si>
    <t>Nátěr truhlář. výrobků akrylátový  2x</t>
  </si>
  <si>
    <t>Malby</t>
  </si>
  <si>
    <t>Penetrace podkladu nátěrem Standard V1307 1 x</t>
  </si>
  <si>
    <t>1,8*4*3,255+0,4*3,255+3*(5,54*2+0,4)   Stěny zádveří, pruh 3m strop v hale, viz TZ</t>
  </si>
  <si>
    <t>Malba vápenná, bílá, bez penetrace 2 x</t>
  </si>
  <si>
    <t>Lešení a stavební výtahy</t>
  </si>
  <si>
    <t>Lešení lehké pomocné, výška podlahy do 1,9 m</t>
  </si>
  <si>
    <t>2*1,2*2*5   Zádveří , hala</t>
  </si>
  <si>
    <t>Různé dokončovací konstrukce a práce na pozemních stavbách</t>
  </si>
  <si>
    <t>Vyčištění budov o výšce podlaží do 4 m</t>
  </si>
  <si>
    <t>3*5,54*2   Zádveří , pruh v hale</t>
  </si>
  <si>
    <t>Bourání konstrukcí</t>
  </si>
  <si>
    <t>Bourání podkladů bet., potěr tl. 10 cm, pl. 4 m2</t>
  </si>
  <si>
    <t>2*(1,2*0,9*0,08)   Vana pro vstup.rohože, Viz TZ</t>
  </si>
  <si>
    <t>Bourání dlaždic keramických tl. 1 cm, nad 1 m2</t>
  </si>
  <si>
    <t>2*(1,2*0,9)   Vana pro vstup.rohože, Viz TZ</t>
  </si>
  <si>
    <t>Vyvěšení, zavěšení kovových křídel dveří pl. 2 m2</t>
  </si>
  <si>
    <t>4*4   Proskl.stěny, Viz TZ</t>
  </si>
  <si>
    <t>Vybourání kovových stěn výkladních pl. nad 4 m2</t>
  </si>
  <si>
    <t>4*5,540*3,255   Vybourání proskl.stěn, Viz TZ</t>
  </si>
  <si>
    <t>Prorážení otvorů a ostatní bourací práce</t>
  </si>
  <si>
    <t>Řezání prostého betonu hl. řezu 100 mm</t>
  </si>
  <si>
    <t>4*(1,2+0,9)   Vana pro vstup.rohože, Viz TZ</t>
  </si>
  <si>
    <t>Elektromontáže</t>
  </si>
  <si>
    <t>Lišta PVC innstalační</t>
  </si>
  <si>
    <t>20*4+8*4+4+10+15+20   Pro automat dveře, viz TZ</t>
  </si>
  <si>
    <t>Montáž skříně se zabudovaným rozvaděčem na konstr.</t>
  </si>
  <si>
    <t>1   Rozvaděč pro 4ks jističů</t>
  </si>
  <si>
    <t>Kabel CYKY 750 V 3x1,5 mm2</t>
  </si>
  <si>
    <t>Skříň rozvaděčová</t>
  </si>
  <si>
    <t>1   pro 4ks jističů</t>
  </si>
  <si>
    <t>Jistič 10 A 1pólový , dodávka a montáž</t>
  </si>
  <si>
    <t>4   Pro automat vrata</t>
  </si>
  <si>
    <t>Hzs-revize provoz.souboru a st.obj.-</t>
  </si>
  <si>
    <t>6   revize - elektroinstalace</t>
  </si>
  <si>
    <t>Hzs-revize provoz.souboru a st.obj.</t>
  </si>
  <si>
    <t>12   Elektroinstalace, Uprava stavajiciho rozvadece</t>
  </si>
  <si>
    <t>Přesuny sutí</t>
  </si>
  <si>
    <t>Vodorovná doprava suti po suchu do 50 m</t>
  </si>
  <si>
    <t>1,7877</t>
  </si>
  <si>
    <t>Vodorovné přemístění suti na skládku do 6000 m</t>
  </si>
  <si>
    <t>Nakládání nebo překládání vybourané suti</t>
  </si>
  <si>
    <t>Skládkovné se zohledněním prodeje hodnotného vybouraného materiálu do sběrného dvora</t>
  </si>
  <si>
    <t>Doba výstavby:</t>
  </si>
  <si>
    <t>Začátek výstavby:</t>
  </si>
  <si>
    <t>Konec výstavby:</t>
  </si>
  <si>
    <t>Zpracováno dne:</t>
  </si>
  <si>
    <t>M.j.</t>
  </si>
  <si>
    <t>m</t>
  </si>
  <si>
    <t>m2</t>
  </si>
  <si>
    <t>m3</t>
  </si>
  <si>
    <t>t</t>
  </si>
  <si>
    <t>ks</t>
  </si>
  <si>
    <t>kus</t>
  </si>
  <si>
    <t>h</t>
  </si>
  <si>
    <t>soubor</t>
  </si>
  <si>
    <t>Množství</t>
  </si>
  <si>
    <t>Jednot.</t>
  </si>
  <si>
    <t>cena (Kč)</t>
  </si>
  <si>
    <t>Náklady (Kč)</t>
  </si>
  <si>
    <t>Dodávka</t>
  </si>
  <si>
    <t>Celkem:</t>
  </si>
  <si>
    <t>Objednatel:</t>
  </si>
  <si>
    <t>Projektant:</t>
  </si>
  <si>
    <t>Zhotovitel:</t>
  </si>
  <si>
    <t>Zpracoval:</t>
  </si>
  <si>
    <t>Montáž</t>
  </si>
  <si>
    <t>GYMNÁZIUM CHEB Nerudova 2283/7, 350 02 Cheb</t>
  </si>
  <si>
    <t>Ing. Jaroslav Radovnický</t>
  </si>
  <si>
    <t>Celkem</t>
  </si>
  <si>
    <t>Hmotnost (t)</t>
  </si>
  <si>
    <t>Cenová</t>
  </si>
  <si>
    <t>soustava</t>
  </si>
  <si>
    <t>0</t>
  </si>
  <si>
    <t>Přesuny</t>
  </si>
  <si>
    <t>Typ skupiny</t>
  </si>
  <si>
    <t>HS</t>
  </si>
  <si>
    <t>PS</t>
  </si>
  <si>
    <t>MP</t>
  </si>
  <si>
    <t>PR</t>
  </si>
  <si>
    <t>HSV mat</t>
  </si>
  <si>
    <t>HSV prac</t>
  </si>
  <si>
    <t>PSV mat</t>
  </si>
  <si>
    <t>PSV prac</t>
  </si>
  <si>
    <t>Mont mat</t>
  </si>
  <si>
    <t>Mont prac</t>
  </si>
  <si>
    <t>Ostatní mat.</t>
  </si>
  <si>
    <t>Náklady (Kč) - dodávka</t>
  </si>
  <si>
    <t>Náklady (Kč) - Montáž</t>
  </si>
  <si>
    <t>Náklady (Kč) - celkem</t>
  </si>
  <si>
    <t>Celková hmotnost (t)</t>
  </si>
  <si>
    <t>F</t>
  </si>
  <si>
    <t>A</t>
  </si>
  <si>
    <t>HSV</t>
  </si>
  <si>
    <t>PSV</t>
  </si>
  <si>
    <t>"M"</t>
  </si>
  <si>
    <t>Ostatní materiál</t>
  </si>
  <si>
    <t>Přesun hmot a sutí</t>
  </si>
  <si>
    <t>ZRN celkem</t>
  </si>
  <si>
    <t>Základ 0%</t>
  </si>
  <si>
    <t>Základ 15%</t>
  </si>
  <si>
    <t>Základ 21%</t>
  </si>
  <si>
    <t>Projektant</t>
  </si>
  <si>
    <t>Datum, razítko a podpis</t>
  </si>
  <si>
    <t>Základní rozpočtové náklady</t>
  </si>
  <si>
    <t>Dodávky</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</si>
  <si>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</si>
  <si>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</si>
  <si>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</si>
  <si>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</si>
  <si>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</si>
  <si>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</si>
  <si>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</si>
  <si>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</si>
  <si>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</si>
  <si>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</si>
  <si>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</si>
  <si>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</si>
  <si>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</si>
  <si>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</si>
  <si>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</si>
  <si>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</si>
  <si>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</si>
  <si>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</si>
  <si>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</si>
  <si>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</si>
  <si>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</si>
  <si>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</si>
  <si>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</si>
  <si>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</si>
  <si>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</si>
  <si>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</si>
  <si>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</si>
  <si>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</si>
  <si>
    <t>47723386/CZ47723386</t>
  </si>
  <si>
    <t>Vedlejší a ostatní rozpočtové náklady</t>
  </si>
  <si>
    <t>Vedlejší rozpočtové náklady VRN</t>
  </si>
  <si>
    <t>Doplňkové náklady DN</t>
  </si>
  <si>
    <t>Celkem DN</t>
  </si>
  <si>
    <t>Celkem NUS</t>
  </si>
  <si>
    <t>Celkem VRN</t>
  </si>
  <si>
    <t>Ostatní rozpočtové náklady ORN</t>
  </si>
  <si>
    <t>Ostatní rozpočtové náklady (ORN)</t>
  </si>
  <si>
    <t>Celkem ORN</t>
  </si>
  <si>
    <t>Kč</t>
  </si>
  <si>
    <t>RTS II / 2015</t>
  </si>
  <si>
    <t>Koordinační a kompletační činnost dodavatele</t>
  </si>
  <si>
    <t>Náklady na veškeré energie související s realizací akce</t>
  </si>
  <si>
    <t>Pojištění odpovědnosti dodavatele včetně všech subdodavatelů</t>
  </si>
  <si>
    <t>Opatření k zajištění bezpečnosti účastníků realizace akce a veřejnosti (zejména zajištění staveniště, bezpečnostní tabulky)</t>
  </si>
  <si>
    <t>Zpracování návodů a dokumentace, zaškolení obsluhy</t>
  </si>
  <si>
    <t>Není</t>
  </si>
  <si>
    <t>Nejsou</t>
  </si>
  <si>
    <t>Krycí list soupisu prací</t>
  </si>
  <si>
    <t>Náklady v Kč</t>
  </si>
  <si>
    <t>Stavební soupis prací - rekapitulace</t>
  </si>
  <si>
    <t>Stavební soupis prací</t>
  </si>
  <si>
    <t>Upřesnění položek:</t>
  </si>
  <si>
    <t>www.rts.cz</t>
  </si>
  <si>
    <t>Dodávka a montáž - Automatické posuvné dveře tepelně izolační teleskopické - vnější, včetně příslušenství, Celkový rozměr stěny 5540 x 3255mm. 2 pevná křídla, 2 posuvná křídla na každou stranu (tl. profilu 30 mm), 3 panelový nadsvětlík, bezpečnostní izolační sklo tl. 22 mm, kryt pohonu, kombinované směrové aktivační + prezenční čidlo SC53-M, el. mech. zámek: bistabilní v pohonu, ovladač na klíček v kovovém pouzdru - 5 funkcí, a)automatický provoz
b)trvale otevřeno
c)trvale zavřeno
d)jednosměrný provoz
e)zimní provoz (částečné otevření dveří)
záložní baterie: 24V baterie pro nouzové otevření, boční bezpečnostní senzory, možnost napojení na EPS.Nutno se řídit dle harmonizovaných norem: EN 60335-1 EN 61000-6-2 EN 61000-6-3 EN ISO 13849-1, EN16005. Mechanická bezpečnost pohonu v souladu s normou EN 1260050-1 (omezení dynamických sil). 
Systém nouzového ručního otevření. 
Celkový rozměr stěny 5540 x 3255, rozměr dveří 3655 x 2225 mm. Přesné rozměry si zhotovitel zaměří na místě. Je nutné dodržet světlost průchodu dveří dle požárně bezpečnostního řešení min. 3600mm.Barevné provedení bílá- obdobný odstín jako stávající okna a dveře.Celé zařízení bude navrženo a provedeno s respektováním požadavku na provoz školy o současné kapacitě cca 650 žáků.</t>
  </si>
  <si>
    <t>Dodávka a montáž- Automatické posuvné dveře  teleskopické - vnitřní, včetně příslušenství, Celkový rozměr stěny 5540 x 3255mm. 2 pevná křídla, 2 posuvná křídla na každou stranu (tl. profilu 20 mm), 3 panelový nadsvětlík, bezpečnostní sklo tl.min. 8 mm, kryt pohonu, kombinované směrové aktivační + prezenční čidlo
 el. mech. zámek: bistabilní v pohonu, ovladač na klíček v kovovém pouzdru 
- 5 funkcí:
a)automatický provoz
b)trvale otevřeno
c)trvale zavřeno
d)jednosměrný provoz
e)zimní provoz (částečné otevření dveří)
záložní baterie pro nouzové otevření, boční bezpečnostní senzory, možnost napojení na EPS.
Nutno se řídit dle harmonizovaných norem: EN 60335-1 EN 61000-6-2 EN 61000-6-3 EN ISO 13849-1, EN16005. Mechanická bezpečnost pohonu v souladu s normou EN 1260050-1 (omezení dynamických sil). 
Systém nouzového ručního otevření. 
Celkový rozměr stěny 5540 x 3255, rozměr dveří 3655 x 2225 mm. Přesné rozměry si zhotovitel zaměří na místě. Je nutné dodržet světlost průchodu dveří dle požárně bezpečnostního řešení min. 3600mm
Barevné provedení bílá- obdobný odstín jako stávající okna a dveře</t>
  </si>
  <si>
    <t>16a</t>
  </si>
  <si>
    <t>767R017VD</t>
  </si>
  <si>
    <t>R položka</t>
  </si>
  <si>
    <t xml:space="preserve">• řídící jednotka přístupového systému – 1 ks
• externí čtečka příchod – 4 ks, odchod – 2 ks
• záložní napájecí zdroj včetně AKU – 1 ks
• uživatelská klíčenka – min. 650 ks 
• klávesnicová čtečka k PC – pro načtení klíčenek do programu – komunikační rozhraní VOS – 1 ks
• komunikační skript pro ovládání řídící jednotky – 1 ks
• full hd kamera – 2 ks
• vzdáleně instalovaný rekordér pro záznam kamer s možností klientského přístupu po LAN – 1 ks
• režim volného i kontrolovaného průchodu pro každý vstup samostatně
o možnost kombinace režimů a přepínání mezi nimi až 5x denně
• možnost použití klíčenek i ISIC karet 
• software – 1 ks
o přístup k datům docházky ze stanic v síti tj. řešení klient/server
o možnost provozovat serverovou část aplikace na virtuálním stroji (VMWare ESXi)
o možnost propojení se systémem Bakaláři
o možnost nastavení přístupu do budovy uživatelům/skupinám
o možnost přidání a editace uživatelů z klientské stanice
o režim kontrolovaného průchodu dveří s možností řízení dle denního časového rozvrhu
• OS „MS Windows Server Standard 2012 R2 2 Procesory“ (licence pro školy) – 1 ks
• počítačová sestava (OS MS Windows 7 CZ nebo vyšší) s LCD monitorem (min. 22“) pro klientskou část aplikace splňující požadavky systému – 1ks
• externí HDD pro zálohování – formát: 3,5“, kapacita: 1 x 3TB, rozhraní: USB 3.0 – 1 ks
</t>
  </si>
  <si>
    <t>Specifikace přístupového systému pro všechny dveře: Ovládání 2 vstupů do gymnázia, zajištěných posuvnými dveřmi prostřednictvím 650 ks ovládacích klíčenek (čipů), které budou snímány autonomními snímači. U jednotlivých vchodů budou instalovány řídící jednotky, které budou připojeny na stávající přívod el. energie 230 V (ideálně vedle řídící elektroniky posuvných dveří) a na přívod počítačové sítě LAN umístěný ve 2. nadzemním patře.</t>
  </si>
</sst>
</file>

<file path=xl/styles.xml><?xml version="1.0" encoding="utf-8"?>
<styleSheet xmlns="http://schemas.openxmlformats.org/spreadsheetml/2006/main">
  <fonts count="20">
    <font>
      <sz val="10"/>
      <name val="Arial"/>
    </font>
    <font>
      <sz val="10"/>
      <color indexed="8"/>
      <name val="Arial"/>
      <family val="2"/>
      <charset val="238"/>
    </font>
    <font>
      <sz val="18"/>
      <color indexed="8"/>
      <name val="Arial"/>
      <family val="2"/>
      <charset val="238"/>
    </font>
    <font>
      <b/>
      <sz val="10"/>
      <color indexed="8"/>
      <name val="Arial"/>
      <family val="2"/>
      <charset val="238"/>
    </font>
    <font>
      <sz val="10"/>
      <color indexed="62"/>
      <name val="Arial"/>
      <family val="2"/>
      <charset val="238"/>
    </font>
    <font>
      <sz val="10"/>
      <color indexed="61"/>
      <name val="Arial"/>
      <family val="2"/>
      <charset val="238"/>
    </font>
    <font>
      <i/>
      <sz val="8"/>
      <color indexed="8"/>
      <name val="Arial"/>
      <family val="2"/>
      <charset val="238"/>
    </font>
    <font>
      <i/>
      <sz val="10"/>
      <color indexed="63"/>
      <name val="Arial"/>
      <family val="2"/>
      <charset val="238"/>
    </font>
    <font>
      <sz val="24"/>
      <color indexed="8"/>
      <name val="Arial"/>
      <family val="2"/>
      <charset val="238"/>
    </font>
    <font>
      <b/>
      <sz val="18"/>
      <color indexed="8"/>
      <name val="Arial"/>
      <family val="2"/>
      <charset val="238"/>
    </font>
    <font>
      <b/>
      <sz val="20"/>
      <color indexed="8"/>
      <name val="Arial"/>
      <family val="2"/>
      <charset val="238"/>
    </font>
    <font>
      <b/>
      <sz val="12"/>
      <color indexed="8"/>
      <name val="Arial"/>
      <family val="2"/>
      <charset val="238"/>
    </font>
    <font>
      <sz val="12"/>
      <color indexed="8"/>
      <name val="Arial"/>
      <family val="2"/>
      <charset val="238"/>
    </font>
    <font>
      <b/>
      <sz val="11"/>
      <color indexed="8"/>
      <name val="Arial"/>
      <family val="2"/>
      <charset val="238"/>
    </font>
    <font>
      <sz val="10"/>
      <color indexed="8"/>
      <name val="Arial"/>
      <family val="2"/>
      <charset val="238"/>
    </font>
    <font>
      <u/>
      <sz val="10"/>
      <color theme="10"/>
      <name val="Arial"/>
      <family val="2"/>
      <charset val="238"/>
    </font>
    <font>
      <sz val="10"/>
      <color theme="1"/>
      <name val="Arial"/>
      <family val="2"/>
      <charset val="238"/>
    </font>
    <font>
      <u/>
      <sz val="10"/>
      <color theme="10"/>
      <name val="Arial"/>
      <family val="2"/>
      <charset val="238"/>
    </font>
    <font>
      <sz val="10"/>
      <name val="Arial"/>
      <family val="2"/>
      <charset val="238"/>
    </font>
    <font>
      <sz val="9"/>
      <name val="Arial"/>
      <family val="2"/>
      <charset val="238"/>
    </font>
  </fonts>
  <fills count="4">
    <fill>
      <patternFill patternType="none"/>
    </fill>
    <fill>
      <patternFill patternType="gray125"/>
    </fill>
    <fill>
      <patternFill patternType="solid">
        <fgColor indexed="22"/>
        <bgColor indexed="9"/>
      </patternFill>
    </fill>
    <fill>
      <patternFill patternType="solid">
        <fgColor rgb="FFFFFF00"/>
        <bgColor indexed="64"/>
      </patternFill>
    </fill>
  </fills>
  <borders count="5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176">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1" fillId="2" borderId="7"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1" fillId="2" borderId="0"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3" fillId="0" borderId="10" xfId="0" applyNumberFormat="1" applyFont="1" applyFill="1" applyBorder="1" applyAlignment="1" applyProtection="1">
      <alignment horizontal="left" vertical="center"/>
    </xf>
    <xf numFmtId="49" fontId="1" fillId="0" borderId="11" xfId="0" applyNumberFormat="1" applyFont="1" applyFill="1" applyBorder="1" applyAlignment="1" applyProtection="1">
      <alignment horizontal="left" vertical="center"/>
    </xf>
    <xf numFmtId="49" fontId="3" fillId="2" borderId="7"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49" fontId="3" fillId="0" borderId="11"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3" fillId="0" borderId="10" xfId="0" applyNumberFormat="1" applyFont="1" applyFill="1" applyBorder="1" applyAlignment="1" applyProtection="1">
      <alignment horizontal="center" vertical="center"/>
    </xf>
    <xf numFmtId="4" fontId="4" fillId="0"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xf>
    <xf numFmtId="49" fontId="3" fillId="0" borderId="12"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right" vertical="center"/>
    </xf>
    <xf numFmtId="49" fontId="3" fillId="0" borderId="15"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right" vertical="center"/>
    </xf>
    <xf numFmtId="49" fontId="3" fillId="2" borderId="0" xfId="0" applyNumberFormat="1" applyFont="1" applyFill="1" applyBorder="1" applyAlignment="1" applyProtection="1">
      <alignment horizontal="right" vertical="center"/>
    </xf>
    <xf numFmtId="49" fontId="3" fillId="0" borderId="23" xfId="0" applyNumberFormat="1" applyFont="1" applyFill="1" applyBorder="1" applyAlignment="1" applyProtection="1">
      <alignment horizontal="center" vertical="center"/>
    </xf>
    <xf numFmtId="49" fontId="3" fillId="0" borderId="24"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0" fontId="1" fillId="0" borderId="3" xfId="0" applyNumberFormat="1" applyFont="1" applyFill="1" applyBorder="1" applyAlignment="1" applyProtection="1">
      <alignment vertical="center"/>
    </xf>
    <xf numFmtId="0" fontId="1" fillId="0" borderId="25" xfId="0" applyNumberFormat="1" applyFont="1" applyFill="1" applyBorder="1" applyAlignment="1" applyProtection="1">
      <alignment vertical="center"/>
    </xf>
    <xf numFmtId="4" fontId="1" fillId="0" borderId="0" xfId="0" applyNumberFormat="1" applyFont="1" applyFill="1" applyBorder="1" applyAlignment="1" applyProtection="1">
      <alignment horizontal="right" vertical="center"/>
    </xf>
    <xf numFmtId="4" fontId="3" fillId="2" borderId="7" xfId="0" applyNumberFormat="1" applyFont="1" applyFill="1" applyBorder="1" applyAlignment="1" applyProtection="1">
      <alignment horizontal="right" vertical="center"/>
    </xf>
    <xf numFmtId="4" fontId="3" fillId="2" borderId="0" xfId="0" applyNumberFormat="1" applyFont="1" applyFill="1" applyBorder="1" applyAlignment="1" applyProtection="1">
      <alignment horizontal="right" vertical="center"/>
    </xf>
    <xf numFmtId="4" fontId="3" fillId="0" borderId="8" xfId="0" applyNumberFormat="1" applyFont="1" applyFill="1" applyBorder="1" applyAlignment="1" applyProtection="1">
      <alignment horizontal="right" vertical="center"/>
    </xf>
    <xf numFmtId="4" fontId="3" fillId="0" borderId="0" xfId="0" applyNumberFormat="1" applyFont="1" applyFill="1" applyBorder="1" applyAlignment="1" applyProtection="1">
      <alignment horizontal="right" vertical="center"/>
    </xf>
    <xf numFmtId="49" fontId="1" fillId="0" borderId="7" xfId="0" applyNumberFormat="1" applyFont="1" applyFill="1" applyBorder="1" applyAlignment="1" applyProtection="1">
      <alignment horizontal="left" vertical="center"/>
    </xf>
    <xf numFmtId="4" fontId="1" fillId="0" borderId="7"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left" vertical="center"/>
    </xf>
    <xf numFmtId="49" fontId="10" fillId="2" borderId="31" xfId="0" applyNumberFormat="1" applyFont="1" applyFill="1" applyBorder="1" applyAlignment="1" applyProtection="1">
      <alignment horizontal="center" vertical="center"/>
    </xf>
    <xf numFmtId="49" fontId="11" fillId="0" borderId="32" xfId="0" applyNumberFormat="1" applyFont="1" applyFill="1" applyBorder="1" applyAlignment="1" applyProtection="1">
      <alignment horizontal="left" vertical="center"/>
    </xf>
    <xf numFmtId="49" fontId="11" fillId="0" borderId="33" xfId="0" applyNumberFormat="1" applyFont="1" applyFill="1" applyBorder="1" applyAlignment="1" applyProtection="1">
      <alignment horizontal="left" vertical="center"/>
    </xf>
    <xf numFmtId="0" fontId="1" fillId="0" borderId="35" xfId="0" applyNumberFormat="1" applyFont="1" applyFill="1" applyBorder="1" applyAlignment="1" applyProtection="1">
      <alignment vertical="center"/>
    </xf>
    <xf numFmtId="49" fontId="6" fillId="0" borderId="7" xfId="0" applyNumberFormat="1" applyFont="1" applyFill="1" applyBorder="1" applyAlignment="1" applyProtection="1">
      <alignment horizontal="left" vertical="center"/>
    </xf>
    <xf numFmtId="49" fontId="12" fillId="0" borderId="31" xfId="0" applyNumberFormat="1" applyFont="1" applyFill="1" applyBorder="1" applyAlignment="1" applyProtection="1">
      <alignment horizontal="left" vertical="center"/>
    </xf>
    <xf numFmtId="0" fontId="1" fillId="0" borderId="7" xfId="0" applyNumberFormat="1" applyFont="1" applyFill="1" applyBorder="1" applyAlignment="1" applyProtection="1">
      <alignment vertical="center"/>
    </xf>
    <xf numFmtId="0" fontId="1" fillId="0" borderId="20" xfId="0" applyNumberFormat="1" applyFont="1" applyFill="1" applyBorder="1" applyAlignment="1" applyProtection="1">
      <alignment vertical="center"/>
    </xf>
    <xf numFmtId="0" fontId="1" fillId="0" borderId="29" xfId="0" applyNumberFormat="1" applyFont="1" applyFill="1" applyBorder="1" applyAlignment="1" applyProtection="1">
      <alignment vertical="center"/>
    </xf>
    <xf numFmtId="4" fontId="12" fillId="0" borderId="31" xfId="0" applyNumberFormat="1" applyFont="1" applyFill="1" applyBorder="1" applyAlignment="1" applyProtection="1">
      <alignment horizontal="right" vertical="center"/>
    </xf>
    <xf numFmtId="49" fontId="12" fillId="0" borderId="31" xfId="0" applyNumberFormat="1" applyFont="1" applyFill="1" applyBorder="1" applyAlignment="1" applyProtection="1">
      <alignment horizontal="right" vertical="center"/>
    </xf>
    <xf numFmtId="4" fontId="12" fillId="0" borderId="17" xfId="0" applyNumberFormat="1" applyFont="1" applyFill="1" applyBorder="1" applyAlignment="1" applyProtection="1">
      <alignment horizontal="right" vertical="center"/>
    </xf>
    <xf numFmtId="0" fontId="1" fillId="0" borderId="42" xfId="0" applyNumberFormat="1" applyFont="1" applyFill="1" applyBorder="1" applyAlignment="1" applyProtection="1">
      <alignment vertical="center"/>
    </xf>
    <xf numFmtId="0" fontId="1" fillId="0" borderId="21" xfId="0" applyNumberFormat="1" applyFont="1" applyFill="1" applyBorder="1" applyAlignment="1" applyProtection="1">
      <alignment vertical="center"/>
    </xf>
    <xf numFmtId="4" fontId="11" fillId="2" borderId="38" xfId="0" applyNumberFormat="1" applyFont="1" applyFill="1" applyBorder="1" applyAlignment="1" applyProtection="1">
      <alignment horizontal="right" vertical="center"/>
    </xf>
    <xf numFmtId="0" fontId="1" fillId="0" borderId="46" xfId="0" applyNumberFormat="1" applyFont="1" applyFill="1" applyBorder="1" applyAlignment="1" applyProtection="1">
      <alignment vertical="center"/>
    </xf>
    <xf numFmtId="0" fontId="1" fillId="0" borderId="9" xfId="0" applyNumberFormat="1" applyFont="1" applyFill="1" applyBorder="1" applyAlignment="1" applyProtection="1">
      <alignment vertical="center"/>
    </xf>
    <xf numFmtId="49" fontId="3" fillId="0" borderId="49" xfId="0" applyNumberFormat="1" applyFont="1" applyFill="1" applyBorder="1" applyAlignment="1" applyProtection="1">
      <alignment horizontal="right" vertical="center"/>
    </xf>
    <xf numFmtId="4" fontId="1" fillId="0" borderId="31" xfId="0" applyNumberFormat="1" applyFont="1" applyFill="1" applyBorder="1" applyAlignment="1" applyProtection="1">
      <alignment horizontal="right" vertical="center"/>
    </xf>
    <xf numFmtId="4" fontId="1" fillId="0" borderId="17" xfId="0" applyNumberFormat="1" applyFont="1" applyFill="1" applyBorder="1" applyAlignment="1" applyProtection="1">
      <alignment horizontal="right" vertical="center"/>
    </xf>
    <xf numFmtId="49" fontId="3" fillId="0" borderId="50" xfId="0" applyNumberFormat="1" applyFont="1" applyFill="1" applyBorder="1" applyAlignment="1" applyProtection="1">
      <alignment horizontal="left" vertical="center"/>
    </xf>
    <xf numFmtId="49" fontId="1" fillId="0" borderId="31" xfId="0" applyNumberFormat="1" applyFont="1" applyFill="1" applyBorder="1" applyAlignment="1" applyProtection="1">
      <alignment horizontal="left" vertical="center"/>
    </xf>
    <xf numFmtId="49" fontId="1" fillId="0" borderId="17" xfId="0" applyNumberFormat="1" applyFont="1" applyFill="1" applyBorder="1" applyAlignment="1" applyProtection="1">
      <alignment horizontal="left" vertical="center"/>
    </xf>
    <xf numFmtId="49" fontId="3" fillId="0" borderId="50" xfId="0" applyNumberFormat="1" applyFont="1" applyFill="1" applyBorder="1" applyAlignment="1" applyProtection="1">
      <alignment horizontal="right" vertical="center"/>
    </xf>
    <xf numFmtId="4" fontId="3" fillId="0" borderId="5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wrapText="1"/>
    </xf>
    <xf numFmtId="4" fontId="4" fillId="0" borderId="0" xfId="0" applyNumberFormat="1" applyFont="1" applyFill="1" applyBorder="1" applyAlignment="1" applyProtection="1">
      <alignment horizontal="right" vertical="center" wrapText="1"/>
    </xf>
    <xf numFmtId="49" fontId="7" fillId="0" borderId="0" xfId="0" applyNumberFormat="1" applyFont="1" applyFill="1" applyBorder="1" applyAlignment="1" applyProtection="1">
      <alignment horizontal="left" vertical="center" wrapText="1"/>
    </xf>
    <xf numFmtId="0" fontId="1" fillId="0" borderId="0" xfId="0" applyFont="1" applyAlignment="1">
      <alignment vertical="center" wrapText="1"/>
    </xf>
    <xf numFmtId="4" fontId="7"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left" vertical="center" wrapText="1"/>
    </xf>
    <xf numFmtId="4" fontId="5" fillId="0" borderId="0"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vertical="center" wrapText="1"/>
    </xf>
    <xf numFmtId="4" fontId="7" fillId="0" borderId="1" xfId="0" applyNumberFormat="1" applyFont="1" applyFill="1" applyBorder="1" applyAlignment="1" applyProtection="1">
      <alignment horizontal="right" vertical="center" wrapText="1"/>
    </xf>
    <xf numFmtId="4" fontId="14" fillId="0" borderId="17" xfId="0" applyNumberFormat="1" applyFont="1" applyFill="1" applyBorder="1" applyAlignment="1" applyProtection="1">
      <alignment horizontal="right" vertical="center"/>
    </xf>
    <xf numFmtId="49" fontId="3" fillId="0" borderId="26" xfId="0" applyNumberFormat="1" applyFont="1" applyFill="1" applyBorder="1" applyAlignment="1" applyProtection="1">
      <alignment horizontal="left" vertical="center" wrapText="1"/>
    </xf>
    <xf numFmtId="49" fontId="3" fillId="0" borderId="27" xfId="0" applyNumberFormat="1" applyFont="1" applyFill="1" applyBorder="1" applyAlignment="1" applyProtection="1">
      <alignment horizontal="left" vertical="center" wrapText="1"/>
    </xf>
    <xf numFmtId="49" fontId="3" fillId="0" borderId="28" xfId="0" applyNumberFormat="1" applyFont="1" applyFill="1" applyBorder="1" applyAlignment="1" applyProtection="1">
      <alignment horizontal="left" vertical="center" wrapText="1"/>
    </xf>
    <xf numFmtId="49" fontId="3" fillId="0" borderId="28" xfId="0" applyNumberFormat="1" applyFont="1" applyFill="1" applyBorder="1" applyAlignment="1" applyProtection="1">
      <alignment horizontal="center" vertical="center" wrapText="1"/>
    </xf>
    <xf numFmtId="49" fontId="3" fillId="0" borderId="26"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4" fontId="4" fillId="3" borderId="0" xfId="0" applyNumberFormat="1" applyFont="1" applyFill="1" applyBorder="1" applyAlignment="1" applyProtection="1">
      <alignment horizontal="right" vertical="center" wrapText="1"/>
      <protection locked="0"/>
    </xf>
    <xf numFmtId="4" fontId="5" fillId="3" borderId="0" xfId="0" applyNumberFormat="1" applyFont="1" applyFill="1" applyBorder="1" applyAlignment="1" applyProtection="1">
      <alignment horizontal="right" vertical="center" wrapText="1"/>
      <protection locked="0"/>
    </xf>
    <xf numFmtId="0" fontId="1" fillId="0" borderId="0" xfId="0" applyFont="1" applyFill="1" applyAlignment="1" applyProtection="1">
      <alignment vertical="center" wrapText="1"/>
    </xf>
    <xf numFmtId="4" fontId="1" fillId="3" borderId="7" xfId="0" applyNumberFormat="1" applyFont="1" applyFill="1" applyBorder="1" applyAlignment="1" applyProtection="1">
      <alignment horizontal="right" vertical="center"/>
      <protection locked="0"/>
    </xf>
    <xf numFmtId="4" fontId="1" fillId="3" borderId="0" xfId="0" applyNumberFormat="1" applyFont="1" applyFill="1" applyBorder="1" applyAlignment="1" applyProtection="1">
      <alignment horizontal="right" vertical="center"/>
      <protection locked="0"/>
    </xf>
    <xf numFmtId="4" fontId="1" fillId="3" borderId="31" xfId="0" applyNumberFormat="1" applyFont="1" applyFill="1" applyBorder="1" applyAlignment="1" applyProtection="1">
      <alignment horizontal="right" vertical="center"/>
      <protection locked="0"/>
    </xf>
    <xf numFmtId="4" fontId="1" fillId="3" borderId="17" xfId="0" applyNumberFormat="1" applyFont="1" applyFill="1" applyBorder="1" applyAlignment="1" applyProtection="1">
      <alignment horizontal="right" vertical="center"/>
      <protection locked="0"/>
    </xf>
    <xf numFmtId="0" fontId="18" fillId="0" borderId="0" xfId="0" applyFont="1" applyAlignment="1">
      <alignment vertical="center" wrapText="1"/>
    </xf>
    <xf numFmtId="0" fontId="18" fillId="0" borderId="0" xfId="0" applyNumberFormat="1" applyFont="1" applyAlignment="1">
      <alignment vertical="center" wrapText="1"/>
    </xf>
    <xf numFmtId="0" fontId="19" fillId="0" borderId="0" xfId="0" applyFont="1" applyAlignment="1">
      <alignment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xf>
    <xf numFmtId="49" fontId="3" fillId="0" borderId="8"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xf>
    <xf numFmtId="14" fontId="1" fillId="0" borderId="0" xfId="0" applyNumberFormat="1" applyFont="1" applyFill="1" applyBorder="1" applyAlignment="1" applyProtection="1">
      <alignment horizontal="left" vertical="center"/>
    </xf>
    <xf numFmtId="49" fontId="3" fillId="0" borderId="14"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0" fontId="1" fillId="0" borderId="21" xfId="0" applyNumberFormat="1" applyFont="1" applyFill="1" applyBorder="1" applyAlignment="1" applyProtection="1">
      <alignment horizontal="left" vertical="center"/>
    </xf>
    <xf numFmtId="0" fontId="1" fillId="0" borderId="22" xfId="0" applyNumberFormat="1" applyFont="1" applyFill="1" applyBorder="1" applyAlignment="1" applyProtection="1">
      <alignment horizontal="left" vertical="center"/>
    </xf>
    <xf numFmtId="49" fontId="3" fillId="2" borderId="7"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xf>
    <xf numFmtId="49" fontId="1" fillId="0" borderId="8"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wrapText="1"/>
    </xf>
    <xf numFmtId="0" fontId="1" fillId="0" borderId="20" xfId="0" applyNumberFormat="1" applyFont="1" applyFill="1" applyBorder="1" applyAlignment="1" applyProtection="1">
      <alignment horizontal="left" vertical="center"/>
    </xf>
    <xf numFmtId="49" fontId="12" fillId="0" borderId="25"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2" fillId="0" borderId="40" xfId="0" applyNumberFormat="1" applyFont="1" applyFill="1" applyBorder="1" applyAlignment="1" applyProtection="1">
      <alignment horizontal="left" vertical="center"/>
    </xf>
    <xf numFmtId="49" fontId="12" fillId="0" borderId="37" xfId="0" applyNumberFormat="1" applyFont="1" applyFill="1" applyBorder="1" applyAlignment="1" applyProtection="1">
      <alignment horizontal="left" vertical="center"/>
    </xf>
    <xf numFmtId="0" fontId="12" fillId="0" borderId="9" xfId="0" applyNumberFormat="1" applyFont="1" applyFill="1" applyBorder="1" applyAlignment="1" applyProtection="1">
      <alignment horizontal="left" vertical="center"/>
    </xf>
    <xf numFmtId="0" fontId="12" fillId="0" borderId="41" xfId="0" applyNumberFormat="1" applyFont="1" applyFill="1" applyBorder="1" applyAlignment="1" applyProtection="1">
      <alignment horizontal="left" vertical="center"/>
    </xf>
    <xf numFmtId="49" fontId="11" fillId="2" borderId="34" xfId="0" applyNumberFormat="1" applyFont="1" applyFill="1" applyBorder="1" applyAlignment="1" applyProtection="1">
      <alignment horizontal="left" vertical="center"/>
    </xf>
    <xf numFmtId="0" fontId="11" fillId="2" borderId="30" xfId="0" applyNumberFormat="1" applyFont="1" applyFill="1" applyBorder="1" applyAlignment="1" applyProtection="1">
      <alignment horizontal="left" vertical="center"/>
    </xf>
    <xf numFmtId="49" fontId="12" fillId="0" borderId="36" xfId="0" applyNumberFormat="1" applyFont="1" applyFill="1" applyBorder="1" applyAlignment="1" applyProtection="1">
      <alignment horizontal="left" vertical="center"/>
    </xf>
    <xf numFmtId="0" fontId="12" fillId="0" borderId="7" xfId="0" applyNumberFormat="1" applyFont="1" applyFill="1" applyBorder="1" applyAlignment="1" applyProtection="1">
      <alignment horizontal="left" vertical="center"/>
    </xf>
    <xf numFmtId="0" fontId="12" fillId="0" borderId="39" xfId="0" applyNumberFormat="1" applyFont="1" applyFill="1" applyBorder="1" applyAlignment="1" applyProtection="1">
      <alignment horizontal="left" vertical="center"/>
    </xf>
    <xf numFmtId="49" fontId="11" fillId="0" borderId="34" xfId="0" applyNumberFormat="1" applyFont="1" applyFill="1" applyBorder="1" applyAlignment="1" applyProtection="1">
      <alignment horizontal="left" vertical="center"/>
    </xf>
    <xf numFmtId="0" fontId="11" fillId="0" borderId="38" xfId="0" applyNumberFormat="1" applyFont="1" applyFill="1" applyBorder="1" applyAlignment="1" applyProtection="1">
      <alignment horizontal="left" vertical="center"/>
    </xf>
    <xf numFmtId="49" fontId="12" fillId="0" borderId="34" xfId="0" applyNumberFormat="1" applyFont="1" applyFill="1" applyBorder="1" applyAlignment="1" applyProtection="1">
      <alignment horizontal="left" vertical="center"/>
    </xf>
    <xf numFmtId="0" fontId="12" fillId="0" borderId="38" xfId="0" applyNumberFormat="1" applyFont="1" applyFill="1" applyBorder="1" applyAlignment="1" applyProtection="1">
      <alignment horizontal="left" vertical="center"/>
    </xf>
    <xf numFmtId="49" fontId="9" fillId="0" borderId="30" xfId="0" applyNumberFormat="1" applyFont="1" applyFill="1" applyBorder="1" applyAlignment="1" applyProtection="1">
      <alignment horizontal="center" vertical="center"/>
    </xf>
    <xf numFmtId="0" fontId="9" fillId="0" borderId="30" xfId="0" applyNumberFormat="1" applyFont="1" applyFill="1" applyBorder="1" applyAlignment="1" applyProtection="1">
      <alignment horizontal="center" vertical="center"/>
    </xf>
    <xf numFmtId="49" fontId="13" fillId="0" borderId="34" xfId="0" applyNumberFormat="1" applyFont="1" applyFill="1" applyBorder="1" applyAlignment="1" applyProtection="1">
      <alignment horizontal="left" vertical="center"/>
    </xf>
    <xf numFmtId="0" fontId="13" fillId="0" borderId="38" xfId="0" applyNumberFormat="1" applyFont="1" applyFill="1" applyBorder="1" applyAlignment="1" applyProtection="1">
      <alignment horizontal="left" vertical="center"/>
    </xf>
    <xf numFmtId="14" fontId="1" fillId="0" borderId="21" xfId="0" applyNumberFormat="1" applyFont="1" applyFill="1" applyBorder="1" applyAlignment="1" applyProtection="1">
      <alignment horizontal="left" vertical="center"/>
    </xf>
    <xf numFmtId="0" fontId="1" fillId="0" borderId="43" xfId="0" applyNumberFormat="1" applyFont="1" applyFill="1" applyBorder="1" applyAlignment="1" applyProtection="1">
      <alignment horizontal="left" vertical="center"/>
    </xf>
    <xf numFmtId="49" fontId="1" fillId="0" borderId="21" xfId="0" applyNumberFormat="1" applyFont="1" applyFill="1" applyBorder="1" applyAlignment="1" applyProtection="1">
      <alignment horizontal="left" vertical="center"/>
    </xf>
    <xf numFmtId="0" fontId="1" fillId="0" borderId="29"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0" fontId="17" fillId="0" borderId="0" xfId="1"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49" fontId="1" fillId="0" borderId="20" xfId="0" applyNumberFormat="1" applyFont="1" applyFill="1" applyBorder="1" applyAlignment="1" applyProtection="1">
      <alignment horizontal="left" vertical="center"/>
    </xf>
    <xf numFmtId="49" fontId="3" fillId="0" borderId="45" xfId="0" applyNumberFormat="1" applyFont="1" applyFill="1" applyBorder="1" applyAlignment="1" applyProtection="1">
      <alignment horizontal="left" vertical="center"/>
    </xf>
    <xf numFmtId="0" fontId="3" fillId="0" borderId="46" xfId="0" applyNumberFormat="1" applyFont="1" applyFill="1" applyBorder="1" applyAlignment="1" applyProtection="1">
      <alignment horizontal="left" vertical="center"/>
    </xf>
    <xf numFmtId="0" fontId="3" fillId="0" borderId="48" xfId="0" applyNumberFormat="1" applyFont="1" applyFill="1" applyBorder="1" applyAlignment="1" applyProtection="1">
      <alignment horizontal="left" vertical="center"/>
    </xf>
    <xf numFmtId="49" fontId="1" fillId="0" borderId="44" xfId="0" applyNumberFormat="1" applyFont="1" applyFill="1" applyBorder="1" applyAlignment="1" applyProtection="1">
      <alignment horizontal="left" vertical="center"/>
    </xf>
    <xf numFmtId="0" fontId="1" fillId="0" borderId="35" xfId="0" applyNumberFormat="1" applyFont="1" applyFill="1" applyBorder="1" applyAlignment="1" applyProtection="1">
      <alignment horizontal="left" vertical="center"/>
    </xf>
    <xf numFmtId="0" fontId="1" fillId="0" borderId="47" xfId="0" applyNumberFormat="1" applyFont="1" applyFill="1" applyBorder="1" applyAlignment="1" applyProtection="1">
      <alignment horizontal="left" vertical="center"/>
    </xf>
    <xf numFmtId="49" fontId="11" fillId="0" borderId="45" xfId="0" applyNumberFormat="1" applyFont="1" applyFill="1" applyBorder="1" applyAlignment="1" applyProtection="1">
      <alignment horizontal="left" vertical="center"/>
    </xf>
    <xf numFmtId="0" fontId="11" fillId="0" borderId="46" xfId="0" applyNumberFormat="1" applyFont="1" applyFill="1" applyBorder="1" applyAlignment="1" applyProtection="1">
      <alignment horizontal="left" vertical="center"/>
    </xf>
    <xf numFmtId="0" fontId="11" fillId="0" borderId="48" xfId="0" applyNumberFormat="1" applyFont="1" applyFill="1" applyBorder="1" applyAlignment="1" applyProtection="1">
      <alignment horizontal="left" vertical="center"/>
    </xf>
    <xf numFmtId="4" fontId="11" fillId="0" borderId="45" xfId="0" applyNumberFormat="1" applyFont="1" applyFill="1" applyBorder="1" applyAlignment="1" applyProtection="1">
      <alignment horizontal="right" vertical="center"/>
    </xf>
    <xf numFmtId="0" fontId="11" fillId="0" borderId="46" xfId="0" applyNumberFormat="1" applyFont="1" applyFill="1" applyBorder="1" applyAlignment="1" applyProtection="1">
      <alignment horizontal="right" vertical="center"/>
    </xf>
    <xf numFmtId="0" fontId="11" fillId="0" borderId="48" xfId="0" applyNumberFormat="1" applyFont="1" applyFill="1" applyBorder="1" applyAlignment="1" applyProtection="1">
      <alignment horizontal="right" vertical="center"/>
    </xf>
    <xf numFmtId="49" fontId="11" fillId="0" borderId="9"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xf numFmtId="49" fontId="3" fillId="0" borderId="14" xfId="0" applyNumberFormat="1" applyFont="1" applyFill="1" applyBorder="1" applyAlignment="1" applyProtection="1">
      <alignment horizontal="left" vertical="center"/>
    </xf>
    <xf numFmtId="0" fontId="3" fillId="0" borderId="16" xfId="0" applyNumberFormat="1" applyFont="1" applyFill="1" applyBorder="1" applyAlignment="1" applyProtection="1">
      <alignment horizontal="left" vertical="center"/>
    </xf>
    <xf numFmtId="0" fontId="3" fillId="0" borderId="18" xfId="0" applyNumberFormat="1" applyFont="1" applyFill="1" applyBorder="1" applyAlignment="1" applyProtection="1">
      <alignment horizontal="left" vertical="center"/>
    </xf>
    <xf numFmtId="49" fontId="14" fillId="0" borderId="34" xfId="0" applyNumberFormat="1" applyFont="1" applyFill="1" applyBorder="1" applyAlignment="1" applyProtection="1">
      <alignment horizontal="left" vertical="center"/>
    </xf>
    <xf numFmtId="0" fontId="14" fillId="0" borderId="30" xfId="0" applyNumberFormat="1" applyFont="1" applyFill="1" applyBorder="1" applyAlignment="1" applyProtection="1">
      <alignment horizontal="left" vertical="center"/>
    </xf>
    <xf numFmtId="0" fontId="14" fillId="0" borderId="38" xfId="0" applyNumberFormat="1" applyFont="1" applyFill="1" applyBorder="1" applyAlignment="1" applyProtection="1">
      <alignment horizontal="left" vertical="center"/>
    </xf>
    <xf numFmtId="49" fontId="14" fillId="0" borderId="34" xfId="0" applyNumberFormat="1" applyFont="1" applyFill="1" applyBorder="1" applyAlignment="1" applyProtection="1">
      <alignment horizontal="left" vertical="center" wrapText="1"/>
    </xf>
    <xf numFmtId="0" fontId="14" fillId="0" borderId="30" xfId="0" applyNumberFormat="1" applyFont="1" applyFill="1" applyBorder="1" applyAlignment="1" applyProtection="1">
      <alignment horizontal="left" vertical="center" wrapText="1"/>
    </xf>
    <xf numFmtId="0" fontId="14" fillId="0" borderId="38" xfId="0" applyNumberFormat="1" applyFont="1" applyFill="1" applyBorder="1" applyAlignment="1" applyProtection="1">
      <alignment horizontal="left" vertical="center" wrapText="1"/>
    </xf>
    <xf numFmtId="49" fontId="14" fillId="0" borderId="44" xfId="0" applyNumberFormat="1" applyFont="1" applyFill="1" applyBorder="1" applyAlignment="1" applyProtection="1">
      <alignment horizontal="left" vertical="center"/>
    </xf>
    <xf numFmtId="49" fontId="1" fillId="0" borderId="34" xfId="0" applyNumberFormat="1" applyFont="1" applyFill="1" applyBorder="1" applyAlignment="1" applyProtection="1">
      <alignment horizontal="left" vertical="center"/>
    </xf>
    <xf numFmtId="0" fontId="1" fillId="0" borderId="30" xfId="0" applyNumberFormat="1" applyFont="1" applyFill="1" applyBorder="1" applyAlignment="1" applyProtection="1">
      <alignment horizontal="left" vertical="center"/>
    </xf>
    <xf numFmtId="0" fontId="1" fillId="0" borderId="38" xfId="0" applyNumberFormat="1" applyFont="1" applyFill="1" applyBorder="1" applyAlignment="1" applyProtection="1">
      <alignment horizontal="left" vertical="center"/>
    </xf>
  </cellXfs>
  <cellStyles count="2">
    <cellStyle name="Hypertextový odkaz" xfId="1" builtinId="8"/>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00000"/>
      <rgbColor rgb="00000000"/>
      <rgbColor rgb="00000000"/>
      <rgbColor rgb="00000000"/>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rts.cz/"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J120"/>
  <sheetViews>
    <sheetView tabSelected="1" zoomScale="70" zoomScaleNormal="70" workbookViewId="0">
      <selection activeCell="F14" sqref="F14"/>
    </sheetView>
  </sheetViews>
  <sheetFormatPr defaultColWidth="11.5703125" defaultRowHeight="12.75"/>
  <cols>
    <col min="1" max="1" width="2.7109375" customWidth="1"/>
    <col min="2" max="2" width="13.28515625" customWidth="1"/>
    <col min="3" max="3" width="44.5703125" customWidth="1"/>
    <col min="4" max="4" width="3.7109375" customWidth="1"/>
    <col min="5" max="5" width="8.28515625" customWidth="1"/>
    <col min="6" max="6" width="10.42578125" customWidth="1"/>
    <col min="7" max="7" width="11" customWidth="1"/>
    <col min="8" max="8" width="10" customWidth="1"/>
    <col min="9" max="9" width="11.5703125" customWidth="1"/>
    <col min="10" max="11" width="7.42578125" customWidth="1"/>
    <col min="12" max="12" width="11.7109375" customWidth="1"/>
    <col min="13" max="36" width="12.140625" hidden="1" customWidth="1"/>
  </cols>
  <sheetData>
    <row r="1" spans="1:36" ht="21.95" customHeight="1">
      <c r="A1" s="110" t="s">
        <v>318</v>
      </c>
      <c r="B1" s="111"/>
      <c r="C1" s="111"/>
      <c r="D1" s="111"/>
      <c r="E1" s="111"/>
      <c r="F1" s="111"/>
      <c r="G1" s="111"/>
      <c r="H1" s="111"/>
      <c r="I1" s="111"/>
      <c r="J1" s="111"/>
      <c r="K1" s="111"/>
      <c r="L1" s="111"/>
    </row>
    <row r="2" spans="1:36">
      <c r="A2" s="112" t="s">
        <v>0</v>
      </c>
      <c r="B2" s="113"/>
      <c r="C2" s="115" t="s">
        <v>111</v>
      </c>
      <c r="D2" s="117" t="s">
        <v>205</v>
      </c>
      <c r="E2" s="113"/>
      <c r="F2" s="117"/>
      <c r="G2" s="113"/>
      <c r="H2" s="118" t="s">
        <v>224</v>
      </c>
      <c r="I2" s="118" t="s">
        <v>229</v>
      </c>
      <c r="J2" s="113"/>
      <c r="K2" s="113"/>
      <c r="L2" s="119"/>
      <c r="M2" s="30"/>
    </row>
    <row r="3" spans="1:36">
      <c r="A3" s="114"/>
      <c r="B3" s="93"/>
      <c r="C3" s="116"/>
      <c r="D3" s="93"/>
      <c r="E3" s="93"/>
      <c r="F3" s="93"/>
      <c r="G3" s="93"/>
      <c r="H3" s="93"/>
      <c r="I3" s="93"/>
      <c r="J3" s="93"/>
      <c r="K3" s="93"/>
      <c r="L3" s="106"/>
      <c r="M3" s="30"/>
    </row>
    <row r="4" spans="1:36">
      <c r="A4" s="99" t="s">
        <v>1</v>
      </c>
      <c r="B4" s="93"/>
      <c r="C4" s="92" t="s">
        <v>112</v>
      </c>
      <c r="D4" s="98" t="s">
        <v>206</v>
      </c>
      <c r="E4" s="93"/>
      <c r="F4" s="98" t="s">
        <v>5</v>
      </c>
      <c r="G4" s="93"/>
      <c r="H4" s="92" t="s">
        <v>225</v>
      </c>
      <c r="I4" s="92" t="s">
        <v>230</v>
      </c>
      <c r="J4" s="93"/>
      <c r="K4" s="93"/>
      <c r="L4" s="106"/>
      <c r="M4" s="30"/>
    </row>
    <row r="5" spans="1:36">
      <c r="A5" s="114"/>
      <c r="B5" s="93"/>
      <c r="C5" s="93"/>
      <c r="D5" s="93"/>
      <c r="E5" s="93"/>
      <c r="F5" s="93"/>
      <c r="G5" s="93"/>
      <c r="H5" s="93"/>
      <c r="I5" s="93"/>
      <c r="J5" s="93"/>
      <c r="K5" s="93"/>
      <c r="L5" s="106"/>
      <c r="M5" s="30"/>
    </row>
    <row r="6" spans="1:36">
      <c r="A6" s="99" t="s">
        <v>2</v>
      </c>
      <c r="B6" s="93"/>
      <c r="C6" s="92" t="s">
        <v>113</v>
      </c>
      <c r="D6" s="98" t="s">
        <v>207</v>
      </c>
      <c r="E6" s="93"/>
      <c r="F6" s="93"/>
      <c r="G6" s="93"/>
      <c r="H6" s="92" t="s">
        <v>226</v>
      </c>
      <c r="I6" s="92"/>
      <c r="J6" s="93"/>
      <c r="K6" s="93"/>
      <c r="L6" s="106"/>
      <c r="M6" s="30"/>
    </row>
    <row r="7" spans="1:36">
      <c r="A7" s="114"/>
      <c r="B7" s="93"/>
      <c r="C7" s="93"/>
      <c r="D7" s="93"/>
      <c r="E7" s="93"/>
      <c r="F7" s="93"/>
      <c r="G7" s="93"/>
      <c r="H7" s="93"/>
      <c r="I7" s="93"/>
      <c r="J7" s="93"/>
      <c r="K7" s="93"/>
      <c r="L7" s="106"/>
      <c r="M7" s="30"/>
    </row>
    <row r="8" spans="1:36">
      <c r="A8" s="99" t="s">
        <v>3</v>
      </c>
      <c r="B8" s="93"/>
      <c r="C8" s="92">
        <v>8013229</v>
      </c>
      <c r="D8" s="98" t="s">
        <v>208</v>
      </c>
      <c r="E8" s="93"/>
      <c r="F8" s="102">
        <v>42254</v>
      </c>
      <c r="G8" s="93"/>
      <c r="H8" s="92" t="s">
        <v>227</v>
      </c>
      <c r="I8" s="92"/>
      <c r="J8" s="93"/>
      <c r="K8" s="93"/>
      <c r="L8" s="106"/>
      <c r="M8" s="30"/>
    </row>
    <row r="9" spans="1:36">
      <c r="A9" s="100"/>
      <c r="B9" s="101"/>
      <c r="C9" s="101"/>
      <c r="D9" s="101"/>
      <c r="E9" s="101"/>
      <c r="F9" s="101"/>
      <c r="G9" s="101"/>
      <c r="H9" s="101"/>
      <c r="I9" s="101"/>
      <c r="J9" s="101"/>
      <c r="K9" s="101"/>
      <c r="L9" s="107"/>
      <c r="M9" s="30"/>
    </row>
    <row r="10" spans="1:36">
      <c r="A10" s="1" t="s">
        <v>4</v>
      </c>
      <c r="B10" s="10" t="s">
        <v>53</v>
      </c>
      <c r="C10" s="10" t="s">
        <v>114</v>
      </c>
      <c r="D10" s="10" t="s">
        <v>209</v>
      </c>
      <c r="E10" s="16" t="s">
        <v>218</v>
      </c>
      <c r="F10" s="19" t="s">
        <v>219</v>
      </c>
      <c r="G10" s="103" t="s">
        <v>221</v>
      </c>
      <c r="H10" s="104"/>
      <c r="I10" s="105"/>
      <c r="J10" s="103" t="s">
        <v>232</v>
      </c>
      <c r="K10" s="105"/>
      <c r="L10" s="26" t="s">
        <v>233</v>
      </c>
      <c r="M10" s="31"/>
    </row>
    <row r="11" spans="1:36">
      <c r="A11" s="2" t="s">
        <v>5</v>
      </c>
      <c r="B11" s="11" t="s">
        <v>5</v>
      </c>
      <c r="C11" s="14" t="s">
        <v>115</v>
      </c>
      <c r="D11" s="11" t="s">
        <v>5</v>
      </c>
      <c r="E11" s="11" t="s">
        <v>5</v>
      </c>
      <c r="F11" s="20" t="s">
        <v>220</v>
      </c>
      <c r="G11" s="21" t="s">
        <v>222</v>
      </c>
      <c r="H11" s="22" t="s">
        <v>228</v>
      </c>
      <c r="I11" s="23" t="s">
        <v>231</v>
      </c>
      <c r="J11" s="21" t="s">
        <v>219</v>
      </c>
      <c r="K11" s="23" t="s">
        <v>231</v>
      </c>
      <c r="L11" s="27" t="s">
        <v>234</v>
      </c>
      <c r="M11" s="31"/>
      <c r="O11" s="25" t="s">
        <v>236</v>
      </c>
      <c r="P11" s="25" t="s">
        <v>237</v>
      </c>
      <c r="Q11" s="25" t="s">
        <v>242</v>
      </c>
      <c r="R11" s="25" t="s">
        <v>243</v>
      </c>
      <c r="S11" s="25" t="s">
        <v>244</v>
      </c>
      <c r="T11" s="25" t="s">
        <v>245</v>
      </c>
      <c r="U11" s="25" t="s">
        <v>246</v>
      </c>
      <c r="V11" s="25" t="s">
        <v>247</v>
      </c>
      <c r="W11" s="25" t="s">
        <v>248</v>
      </c>
    </row>
    <row r="12" spans="1:36">
      <c r="A12" s="3"/>
      <c r="B12" s="12" t="s">
        <v>54</v>
      </c>
      <c r="C12" s="108" t="s">
        <v>116</v>
      </c>
      <c r="D12" s="109"/>
      <c r="E12" s="109"/>
      <c r="F12" s="109"/>
      <c r="G12" s="33">
        <f>SUM(G13:G24)</f>
        <v>0</v>
      </c>
      <c r="H12" s="33">
        <f>SUM(H13:H24)</f>
        <v>0</v>
      </c>
      <c r="I12" s="33">
        <f>G12+H12</f>
        <v>0</v>
      </c>
      <c r="J12" s="24"/>
      <c r="K12" s="33">
        <f>SUM(K13:K24)</f>
        <v>1.0401212</v>
      </c>
      <c r="L12" s="24"/>
      <c r="O12" s="34">
        <f>IF(P12="PR",I12,SUM(N13:N24))</f>
        <v>0</v>
      </c>
      <c r="P12" s="25" t="s">
        <v>238</v>
      </c>
      <c r="Q12" s="34">
        <f>IF(P12="HS",G12,0)</f>
        <v>0</v>
      </c>
      <c r="R12" s="34">
        <f>IF(P12="HS",H12-O12,0)</f>
        <v>0</v>
      </c>
      <c r="S12" s="34">
        <f>IF(P12="PS",G12,0)</f>
        <v>0</v>
      </c>
      <c r="T12" s="34">
        <f>IF(P12="PS",H12-O12,0)</f>
        <v>0</v>
      </c>
      <c r="U12" s="34">
        <f>IF(P12="MP",G12,0)</f>
        <v>0</v>
      </c>
      <c r="V12" s="34">
        <f>IF(P12="MP",H12-O12,0)</f>
        <v>0</v>
      </c>
      <c r="W12" s="34">
        <f>IF(P12="OM",G12,0)</f>
        <v>0</v>
      </c>
      <c r="X12" s="25"/>
      <c r="AH12" s="34">
        <f>SUM(Y13:Y24)</f>
        <v>0</v>
      </c>
      <c r="AI12" s="34">
        <f>SUM(Z13:Z24)</f>
        <v>0</v>
      </c>
      <c r="AJ12" s="34">
        <f>SUM(AA13:AA24)</f>
        <v>0</v>
      </c>
    </row>
    <row r="13" spans="1:36">
      <c r="A13" s="4" t="s">
        <v>6</v>
      </c>
      <c r="B13" s="4" t="s">
        <v>55</v>
      </c>
      <c r="C13" s="65" t="s">
        <v>117</v>
      </c>
      <c r="D13" s="65" t="s">
        <v>210</v>
      </c>
      <c r="E13" s="66">
        <v>57.84</v>
      </c>
      <c r="F13" s="82">
        <v>0</v>
      </c>
      <c r="G13" s="17">
        <f>ROUND(E13*AD13,2)</f>
        <v>0</v>
      </c>
      <c r="H13" s="17">
        <f>I13-G13</f>
        <v>0</v>
      </c>
      <c r="I13" s="17">
        <f>ROUND(E13*F13,2)</f>
        <v>0</v>
      </c>
      <c r="J13" s="17">
        <v>1E-4</v>
      </c>
      <c r="K13" s="17">
        <f>E13*J13</f>
        <v>5.7840000000000009E-3</v>
      </c>
      <c r="L13" s="28" t="s">
        <v>307</v>
      </c>
      <c r="M13" s="28" t="s">
        <v>235</v>
      </c>
      <c r="N13" s="17">
        <f>IF(M13="5",H13,0)</f>
        <v>0</v>
      </c>
      <c r="Y13" s="17">
        <f>IF(AC13=0,I13,0)</f>
        <v>0</v>
      </c>
      <c r="Z13" s="17">
        <f>IF(AC13=15,I13,0)</f>
        <v>0</v>
      </c>
      <c r="AA13" s="17">
        <f>IF(AC13=21,I13,0)</f>
        <v>0</v>
      </c>
      <c r="AC13" s="32">
        <v>21</v>
      </c>
      <c r="AD13" s="32">
        <f>F13*1</f>
        <v>0</v>
      </c>
      <c r="AE13" s="32">
        <f>F13*(1-1)</f>
        <v>0</v>
      </c>
    </row>
    <row r="14" spans="1:36">
      <c r="C14" s="67" t="s">
        <v>118</v>
      </c>
      <c r="D14" s="68"/>
      <c r="E14" s="69">
        <v>48.2</v>
      </c>
      <c r="F14" s="68"/>
    </row>
    <row r="15" spans="1:36">
      <c r="C15" s="67" t="s">
        <v>119</v>
      </c>
      <c r="D15" s="68"/>
      <c r="E15" s="69">
        <v>9.64</v>
      </c>
      <c r="F15" s="68"/>
    </row>
    <row r="16" spans="1:36">
      <c r="A16" s="5" t="s">
        <v>7</v>
      </c>
      <c r="B16" s="5" t="s">
        <v>56</v>
      </c>
      <c r="C16" s="70" t="s">
        <v>120</v>
      </c>
      <c r="D16" s="70" t="s">
        <v>211</v>
      </c>
      <c r="E16" s="71">
        <v>0.8</v>
      </c>
      <c r="F16" s="83">
        <v>0</v>
      </c>
      <c r="G16" s="18">
        <f>ROUND(E16*AD16,2)</f>
        <v>0</v>
      </c>
      <c r="H16" s="18">
        <f>I16-G16</f>
        <v>0</v>
      </c>
      <c r="I16" s="18">
        <f>ROUND(E16*F16,2)</f>
        <v>0</v>
      </c>
      <c r="J16" s="18">
        <v>6.3E-2</v>
      </c>
      <c r="K16" s="18">
        <f>E16*J16</f>
        <v>5.04E-2</v>
      </c>
      <c r="L16" s="29" t="s">
        <v>307</v>
      </c>
      <c r="M16" s="29" t="s">
        <v>6</v>
      </c>
      <c r="N16" s="18">
        <f>IF(M16="5",H16,0)</f>
        <v>0</v>
      </c>
      <c r="Y16" s="18">
        <f>IF(AC16=0,I16,0)</f>
        <v>0</v>
      </c>
      <c r="Z16" s="18">
        <f>IF(AC16=15,I16,0)</f>
        <v>0</v>
      </c>
      <c r="AA16" s="18">
        <f>IF(AC16=21,I16,0)</f>
        <v>0</v>
      </c>
      <c r="AC16" s="32">
        <v>21</v>
      </c>
      <c r="AD16" s="32">
        <f>F16*0</f>
        <v>0</v>
      </c>
      <c r="AE16" s="32">
        <f>F16*(1-0)</f>
        <v>0</v>
      </c>
    </row>
    <row r="17" spans="1:36">
      <c r="C17" s="67" t="s">
        <v>121</v>
      </c>
      <c r="D17" s="68"/>
      <c r="E17" s="69">
        <v>0.8</v>
      </c>
      <c r="F17" s="68"/>
    </row>
    <row r="18" spans="1:36">
      <c r="A18" s="5" t="s">
        <v>8</v>
      </c>
      <c r="B18" s="5" t="s">
        <v>57</v>
      </c>
      <c r="C18" s="70" t="s">
        <v>122</v>
      </c>
      <c r="D18" s="70" t="s">
        <v>211</v>
      </c>
      <c r="E18" s="71">
        <v>62.11</v>
      </c>
      <c r="F18" s="83">
        <v>0</v>
      </c>
      <c r="G18" s="18">
        <f>ROUND(E18*AD18,2)</f>
        <v>0</v>
      </c>
      <c r="H18" s="18">
        <f>I18-G18</f>
        <v>0</v>
      </c>
      <c r="I18" s="18">
        <f>ROUND(E18*F18,2)</f>
        <v>0</v>
      </c>
      <c r="J18" s="18">
        <v>4.0000000000000003E-5</v>
      </c>
      <c r="K18" s="18">
        <f>E18*J18</f>
        <v>2.4844000000000003E-3</v>
      </c>
      <c r="L18" s="29" t="s">
        <v>307</v>
      </c>
      <c r="M18" s="29" t="s">
        <v>6</v>
      </c>
      <c r="N18" s="18">
        <f>IF(M18="5",H18,0)</f>
        <v>0</v>
      </c>
      <c r="Y18" s="18">
        <f>IF(AC18=0,I18,0)</f>
        <v>0</v>
      </c>
      <c r="Z18" s="18">
        <f>IF(AC18=15,I18,0)</f>
        <v>0</v>
      </c>
      <c r="AA18" s="18">
        <f>IF(AC18=21,I18,0)</f>
        <v>0</v>
      </c>
      <c r="AC18" s="32">
        <v>21</v>
      </c>
      <c r="AD18" s="32">
        <f>F18*0.39520608009354</f>
        <v>0</v>
      </c>
      <c r="AE18" s="32">
        <f>F18*(1-0.39520608009354)</f>
        <v>0</v>
      </c>
    </row>
    <row r="19" spans="1:36" ht="25.5">
      <c r="C19" s="67" t="s">
        <v>123</v>
      </c>
      <c r="D19" s="68"/>
      <c r="E19" s="69">
        <v>62.11</v>
      </c>
      <c r="F19" s="68"/>
    </row>
    <row r="20" spans="1:36">
      <c r="A20" s="5" t="s">
        <v>9</v>
      </c>
      <c r="B20" s="5" t="s">
        <v>58</v>
      </c>
      <c r="C20" s="70" t="s">
        <v>124</v>
      </c>
      <c r="D20" s="70" t="s">
        <v>210</v>
      </c>
      <c r="E20" s="71">
        <v>30.61</v>
      </c>
      <c r="F20" s="83">
        <v>0</v>
      </c>
      <c r="G20" s="18">
        <f>ROUND(E20*AD20,2)</f>
        <v>0</v>
      </c>
      <c r="H20" s="18">
        <f>I20-G20</f>
        <v>0</v>
      </c>
      <c r="I20" s="18">
        <f>ROUND(E20*F20,2)</f>
        <v>0</v>
      </c>
      <c r="J20" s="18">
        <v>2.3800000000000002E-3</v>
      </c>
      <c r="K20" s="18">
        <f>E20*J20</f>
        <v>7.2851800000000008E-2</v>
      </c>
      <c r="L20" s="29" t="s">
        <v>307</v>
      </c>
      <c r="M20" s="29" t="s">
        <v>6</v>
      </c>
      <c r="N20" s="18">
        <f>IF(M20="5",H20,0)</f>
        <v>0</v>
      </c>
      <c r="Y20" s="18">
        <f>IF(AC20=0,I20,0)</f>
        <v>0</v>
      </c>
      <c r="Z20" s="18">
        <f>IF(AC20=15,I20,0)</f>
        <v>0</v>
      </c>
      <c r="AA20" s="18">
        <f>IF(AC20=21,I20,0)</f>
        <v>0</v>
      </c>
      <c r="AC20" s="32">
        <v>21</v>
      </c>
      <c r="AD20" s="32">
        <f>F20*0.134525939177102</f>
        <v>0</v>
      </c>
      <c r="AE20" s="32">
        <f>F20*(1-0.134525939177102)</f>
        <v>0</v>
      </c>
    </row>
    <row r="21" spans="1:36">
      <c r="C21" s="67" t="s">
        <v>125</v>
      </c>
      <c r="D21" s="68"/>
      <c r="E21" s="69">
        <v>30.61</v>
      </c>
      <c r="F21" s="68"/>
    </row>
    <row r="22" spans="1:36">
      <c r="A22" s="5" t="s">
        <v>10</v>
      </c>
      <c r="B22" s="5" t="s">
        <v>59</v>
      </c>
      <c r="C22" s="70" t="s">
        <v>126</v>
      </c>
      <c r="D22" s="70" t="s">
        <v>211</v>
      </c>
      <c r="E22" s="71">
        <v>24.9</v>
      </c>
      <c r="F22" s="83">
        <v>0</v>
      </c>
      <c r="G22" s="18">
        <f>ROUND(E22*AD22,2)</f>
        <v>0</v>
      </c>
      <c r="H22" s="18">
        <f>I22-G22</f>
        <v>0</v>
      </c>
      <c r="I22" s="18">
        <f>ROUND(E22*F22,2)</f>
        <v>0</v>
      </c>
      <c r="J22" s="18">
        <v>3.6490000000000002E-2</v>
      </c>
      <c r="K22" s="18">
        <f>E22*J22</f>
        <v>0.90860099999999999</v>
      </c>
      <c r="L22" s="29" t="s">
        <v>307</v>
      </c>
      <c r="M22" s="29" t="s">
        <v>6</v>
      </c>
      <c r="N22" s="18">
        <f>IF(M22="5",H22,0)</f>
        <v>0</v>
      </c>
      <c r="Y22" s="18">
        <f>IF(AC22=0,I22,0)</f>
        <v>0</v>
      </c>
      <c r="Z22" s="18">
        <f>IF(AC22=15,I22,0)</f>
        <v>0</v>
      </c>
      <c r="AA22" s="18">
        <f>IF(AC22=21,I22,0)</f>
        <v>0</v>
      </c>
      <c r="AC22" s="32">
        <v>21</v>
      </c>
      <c r="AD22" s="32">
        <f>F22*0.249147788022491</f>
        <v>0</v>
      </c>
      <c r="AE22" s="32">
        <f>F22*(1-0.249147788022491)</f>
        <v>0</v>
      </c>
    </row>
    <row r="23" spans="1:36">
      <c r="C23" s="67" t="s">
        <v>127</v>
      </c>
      <c r="D23" s="68"/>
      <c r="E23" s="69">
        <v>24.9</v>
      </c>
      <c r="F23" s="68"/>
    </row>
    <row r="24" spans="1:36">
      <c r="A24" s="5" t="s">
        <v>11</v>
      </c>
      <c r="B24" s="5" t="s">
        <v>60</v>
      </c>
      <c r="C24" s="70" t="s">
        <v>128</v>
      </c>
      <c r="D24" s="70" t="s">
        <v>210</v>
      </c>
      <c r="E24" s="71">
        <v>48.2</v>
      </c>
      <c r="F24" s="83">
        <v>0</v>
      </c>
      <c r="G24" s="18">
        <f>ROUND(E24*AD24,2)</f>
        <v>0</v>
      </c>
      <c r="H24" s="18">
        <f>I24-G24</f>
        <v>0</v>
      </c>
      <c r="I24" s="18">
        <f>ROUND(E24*F24,2)</f>
        <v>0</v>
      </c>
      <c r="J24" s="18">
        <v>0</v>
      </c>
      <c r="K24" s="18">
        <f>E24*J24</f>
        <v>0</v>
      </c>
      <c r="L24" s="29" t="s">
        <v>307</v>
      </c>
      <c r="M24" s="29" t="s">
        <v>6</v>
      </c>
      <c r="N24" s="18">
        <f>IF(M24="5",H24,0)</f>
        <v>0</v>
      </c>
      <c r="Y24" s="18">
        <f>IF(AC24=0,I24,0)</f>
        <v>0</v>
      </c>
      <c r="Z24" s="18">
        <f>IF(AC24=15,I24,0)</f>
        <v>0</v>
      </c>
      <c r="AA24" s="18">
        <f>IF(AC24=21,I24,0)</f>
        <v>0</v>
      </c>
      <c r="AC24" s="32">
        <v>21</v>
      </c>
      <c r="AD24" s="32">
        <f>F24*0</f>
        <v>0</v>
      </c>
      <c r="AE24" s="32">
        <f>F24*(1-0)</f>
        <v>0</v>
      </c>
    </row>
    <row r="25" spans="1:36">
      <c r="C25" s="67" t="s">
        <v>118</v>
      </c>
      <c r="D25" s="68"/>
      <c r="E25" s="69">
        <v>48.2</v>
      </c>
      <c r="F25" s="68"/>
    </row>
    <row r="26" spans="1:36">
      <c r="A26" s="6"/>
      <c r="B26" s="13" t="s">
        <v>61</v>
      </c>
      <c r="C26" s="94" t="s">
        <v>129</v>
      </c>
      <c r="D26" s="95"/>
      <c r="E26" s="95"/>
      <c r="F26" s="95"/>
      <c r="G26" s="34">
        <f>SUM(G27:G27)</f>
        <v>0</v>
      </c>
      <c r="H26" s="34">
        <f>SUM(H27:H27)</f>
        <v>0</v>
      </c>
      <c r="I26" s="34">
        <f>G26+H26</f>
        <v>0</v>
      </c>
      <c r="J26" s="25"/>
      <c r="K26" s="34">
        <f>SUM(K27:K27)</f>
        <v>2.4100000000000002E-3</v>
      </c>
      <c r="L26" s="25"/>
      <c r="O26" s="34">
        <f>IF(P26="PR",I26,SUM(N27:N27))</f>
        <v>0</v>
      </c>
      <c r="P26" s="25" t="s">
        <v>238</v>
      </c>
      <c r="Q26" s="34">
        <f>IF(P26="HS",G26,0)</f>
        <v>0</v>
      </c>
      <c r="R26" s="34">
        <f>IF(P26="HS",H26-O26,0)</f>
        <v>0</v>
      </c>
      <c r="S26" s="34">
        <f>IF(P26="PS",G26,0)</f>
        <v>0</v>
      </c>
      <c r="T26" s="34">
        <f>IF(P26="PS",H26-O26,0)</f>
        <v>0</v>
      </c>
      <c r="U26" s="34">
        <f>IF(P26="MP",G26,0)</f>
        <v>0</v>
      </c>
      <c r="V26" s="34">
        <f>IF(P26="MP",H26-O26,0)</f>
        <v>0</v>
      </c>
      <c r="W26" s="34">
        <f>IF(P26="OM",G26,0)</f>
        <v>0</v>
      </c>
      <c r="X26" s="25"/>
      <c r="AH26" s="34">
        <f>SUM(Y27:Y27)</f>
        <v>0</v>
      </c>
      <c r="AI26" s="34">
        <f>SUM(Z27:Z27)</f>
        <v>0</v>
      </c>
      <c r="AJ26" s="34">
        <f>SUM(AA27:AA27)</f>
        <v>0</v>
      </c>
    </row>
    <row r="27" spans="1:36" ht="38.25">
      <c r="A27" s="5" t="s">
        <v>12</v>
      </c>
      <c r="B27" s="5" t="s">
        <v>62</v>
      </c>
      <c r="C27" s="70" t="s">
        <v>130</v>
      </c>
      <c r="D27" s="70" t="s">
        <v>210</v>
      </c>
      <c r="E27" s="71">
        <v>24.1</v>
      </c>
      <c r="F27" s="83">
        <v>0</v>
      </c>
      <c r="G27" s="18">
        <f>ROUND(E27*AD27,2)</f>
        <v>0</v>
      </c>
      <c r="H27" s="18">
        <f>I27-G27</f>
        <v>0</v>
      </c>
      <c r="I27" s="18">
        <f>ROUND(E27*F27,2)</f>
        <v>0</v>
      </c>
      <c r="J27" s="18">
        <v>1E-4</v>
      </c>
      <c r="K27" s="18">
        <f>E27*J27</f>
        <v>2.4100000000000002E-3</v>
      </c>
      <c r="L27" s="29" t="s">
        <v>307</v>
      </c>
      <c r="M27" s="29" t="s">
        <v>6</v>
      </c>
      <c r="N27" s="18">
        <f>IF(M27="5",H27,0)</f>
        <v>0</v>
      </c>
      <c r="Y27" s="18">
        <f>IF(AC27=0,I27,0)</f>
        <v>0</v>
      </c>
      <c r="Z27" s="18">
        <f>IF(AC27=15,I27,0)</f>
        <v>0</v>
      </c>
      <c r="AA27" s="18">
        <f>IF(AC27=21,I27,0)</f>
        <v>0</v>
      </c>
      <c r="AC27" s="32">
        <v>21</v>
      </c>
      <c r="AD27" s="32">
        <f>F27*0.271457286432161</f>
        <v>0</v>
      </c>
      <c r="AE27" s="32">
        <f>F27*(1-0.271457286432161)</f>
        <v>0</v>
      </c>
    </row>
    <row r="28" spans="1:36">
      <c r="C28" s="67" t="s">
        <v>131</v>
      </c>
      <c r="D28" s="68"/>
      <c r="E28" s="69">
        <v>24.1</v>
      </c>
      <c r="F28" s="68"/>
    </row>
    <row r="29" spans="1:36">
      <c r="A29" s="6"/>
      <c r="B29" s="13" t="s">
        <v>63</v>
      </c>
      <c r="C29" s="94" t="s">
        <v>132</v>
      </c>
      <c r="D29" s="95"/>
      <c r="E29" s="95"/>
      <c r="F29" s="95"/>
      <c r="G29" s="34">
        <f>SUM(G30:G32)</f>
        <v>0</v>
      </c>
      <c r="H29" s="34">
        <f>SUM(H30:H32)</f>
        <v>0</v>
      </c>
      <c r="I29" s="34">
        <f>G29+H29</f>
        <v>0</v>
      </c>
      <c r="J29" s="25"/>
      <c r="K29" s="34">
        <f>SUM(K30:K32)</f>
        <v>0.27775</v>
      </c>
      <c r="L29" s="25"/>
      <c r="O29" s="34">
        <f>IF(P29="PR",I29,SUM(N30:N32))</f>
        <v>0</v>
      </c>
      <c r="P29" s="25" t="s">
        <v>238</v>
      </c>
      <c r="Q29" s="34">
        <f>IF(P29="HS",G29,0)</f>
        <v>0</v>
      </c>
      <c r="R29" s="34">
        <f>IF(P29="HS",H29-O29,0)</f>
        <v>0</v>
      </c>
      <c r="S29" s="34">
        <f>IF(P29="PS",G29,0)</f>
        <v>0</v>
      </c>
      <c r="T29" s="34">
        <f>IF(P29="PS",H29-O29,0)</f>
        <v>0</v>
      </c>
      <c r="U29" s="34">
        <f>IF(P29="MP",G29,0)</f>
        <v>0</v>
      </c>
      <c r="V29" s="34">
        <f>IF(P29="MP",H29-O29,0)</f>
        <v>0</v>
      </c>
      <c r="W29" s="34">
        <f>IF(P29="OM",G29,0)</f>
        <v>0</v>
      </c>
      <c r="X29" s="25"/>
      <c r="AH29" s="34">
        <f>SUM(Y30:Y32)</f>
        <v>0</v>
      </c>
      <c r="AI29" s="34">
        <f>SUM(Z30:Z32)</f>
        <v>0</v>
      </c>
      <c r="AJ29" s="34">
        <f>SUM(AA30:AA32)</f>
        <v>0</v>
      </c>
    </row>
    <row r="30" spans="1:36">
      <c r="A30" s="5" t="s">
        <v>13</v>
      </c>
      <c r="B30" s="5" t="s">
        <v>64</v>
      </c>
      <c r="C30" s="70" t="s">
        <v>133</v>
      </c>
      <c r="D30" s="70" t="s">
        <v>212</v>
      </c>
      <c r="E30" s="71">
        <v>0.11</v>
      </c>
      <c r="F30" s="83">
        <v>0</v>
      </c>
      <c r="G30" s="18">
        <f>ROUND(E30*AD30,2)</f>
        <v>0</v>
      </c>
      <c r="H30" s="18">
        <f>I30-G30</f>
        <v>0</v>
      </c>
      <c r="I30" s="18">
        <f>ROUND(E30*F30,2)</f>
        <v>0</v>
      </c>
      <c r="J30" s="18">
        <v>2.5249999999999999</v>
      </c>
      <c r="K30" s="18">
        <f>E30*J30</f>
        <v>0.27775</v>
      </c>
      <c r="L30" s="29" t="s">
        <v>307</v>
      </c>
      <c r="M30" s="29" t="s">
        <v>6</v>
      </c>
      <c r="N30" s="18">
        <f>IF(M30="5",H30,0)</f>
        <v>0</v>
      </c>
      <c r="Y30" s="18">
        <f>IF(AC30=0,I30,0)</f>
        <v>0</v>
      </c>
      <c r="Z30" s="18">
        <f>IF(AC30=15,I30,0)</f>
        <v>0</v>
      </c>
      <c r="AA30" s="18">
        <f>IF(AC30=21,I30,0)</f>
        <v>0</v>
      </c>
      <c r="AC30" s="32">
        <v>21</v>
      </c>
      <c r="AD30" s="32">
        <f>F30*0.692620412998411</f>
        <v>0</v>
      </c>
      <c r="AE30" s="32">
        <f>F30*(1-0.692620412998411)</f>
        <v>0</v>
      </c>
    </row>
    <row r="31" spans="1:36">
      <c r="C31" s="67" t="s">
        <v>134</v>
      </c>
      <c r="D31" s="68"/>
      <c r="E31" s="69">
        <v>0.11</v>
      </c>
      <c r="F31" s="68"/>
    </row>
    <row r="32" spans="1:36">
      <c r="A32" s="5" t="s">
        <v>14</v>
      </c>
      <c r="B32" s="5" t="s">
        <v>65</v>
      </c>
      <c r="C32" s="70" t="s">
        <v>135</v>
      </c>
      <c r="D32" s="70" t="s">
        <v>213</v>
      </c>
      <c r="E32" s="71">
        <v>1.3202799999999999</v>
      </c>
      <c r="F32" s="83">
        <v>0</v>
      </c>
      <c r="G32" s="18">
        <f>ROUND(E32*AD32,2)</f>
        <v>0</v>
      </c>
      <c r="H32" s="18">
        <f>I32-G32</f>
        <v>0</v>
      </c>
      <c r="I32" s="18">
        <f>ROUND(E32*F32,2)</f>
        <v>0</v>
      </c>
      <c r="J32" s="18">
        <v>0</v>
      </c>
      <c r="K32" s="18">
        <f>E32*J32</f>
        <v>0</v>
      </c>
      <c r="L32" s="29" t="s">
        <v>307</v>
      </c>
      <c r="M32" s="29" t="s">
        <v>10</v>
      </c>
      <c r="N32" s="18">
        <f>IF(M32="5",H32,0)</f>
        <v>0</v>
      </c>
      <c r="Y32" s="18">
        <f>IF(AC32=0,I32,0)</f>
        <v>0</v>
      </c>
      <c r="Z32" s="18">
        <f>IF(AC32=15,I32,0)</f>
        <v>0</v>
      </c>
      <c r="AA32" s="18">
        <f>IF(AC32=21,I32,0)</f>
        <v>0</v>
      </c>
      <c r="AC32" s="32">
        <v>21</v>
      </c>
      <c r="AD32" s="32">
        <f>F32*0</f>
        <v>0</v>
      </c>
      <c r="AE32" s="32">
        <f>F32*(1-0)</f>
        <v>0</v>
      </c>
    </row>
    <row r="33" spans="1:36">
      <c r="A33" s="6"/>
      <c r="B33" s="13" t="s">
        <v>66</v>
      </c>
      <c r="C33" s="94" t="s">
        <v>136</v>
      </c>
      <c r="D33" s="95"/>
      <c r="E33" s="95"/>
      <c r="F33" s="95"/>
      <c r="G33" s="34">
        <f>SUM(G34:G43)</f>
        <v>0</v>
      </c>
      <c r="H33" s="34">
        <f>SUM(H34:H43)</f>
        <v>0</v>
      </c>
      <c r="I33" s="34">
        <f>G33+H33</f>
        <v>0</v>
      </c>
      <c r="J33" s="25"/>
      <c r="K33" s="34">
        <f>SUM(K34:K43)</f>
        <v>6.0174100000000008E-2</v>
      </c>
      <c r="L33" s="25"/>
      <c r="O33" s="34">
        <f>IF(P33="PR",I33,SUM(N34:N43))</f>
        <v>0</v>
      </c>
      <c r="P33" s="25" t="s">
        <v>239</v>
      </c>
      <c r="Q33" s="34">
        <f>IF(P33="HS",G33,0)</f>
        <v>0</v>
      </c>
      <c r="R33" s="34">
        <f>IF(P33="HS",H33-O33,0)</f>
        <v>0</v>
      </c>
      <c r="S33" s="34">
        <f>IF(P33="PS",G33,0)</f>
        <v>0</v>
      </c>
      <c r="T33" s="34">
        <f>IF(P33="PS",H33-O33,0)</f>
        <v>0</v>
      </c>
      <c r="U33" s="34">
        <f>IF(P33="MP",G33,0)</f>
        <v>0</v>
      </c>
      <c r="V33" s="34">
        <f>IF(P33="MP",H33-O33,0)</f>
        <v>0</v>
      </c>
      <c r="W33" s="34">
        <f>IF(P33="OM",G33,0)</f>
        <v>0</v>
      </c>
      <c r="X33" s="25"/>
      <c r="AH33" s="34">
        <f>SUM(Y34:Y43)</f>
        <v>0</v>
      </c>
      <c r="AI33" s="34">
        <f>SUM(Z34:Z43)</f>
        <v>0</v>
      </c>
      <c r="AJ33" s="34">
        <f>SUM(AA34:AA43)</f>
        <v>0</v>
      </c>
    </row>
    <row r="34" spans="1:36" ht="25.5">
      <c r="A34" s="4" t="s">
        <v>15</v>
      </c>
      <c r="B34" s="4" t="s">
        <v>67</v>
      </c>
      <c r="C34" s="65" t="s">
        <v>137</v>
      </c>
      <c r="D34" s="65" t="s">
        <v>211</v>
      </c>
      <c r="E34" s="66">
        <v>4.87</v>
      </c>
      <c r="F34" s="82">
        <v>0</v>
      </c>
      <c r="G34" s="17">
        <f>ROUND(E34*AD34,2)</f>
        <v>0</v>
      </c>
      <c r="H34" s="17">
        <f>I34-G34</f>
        <v>0</v>
      </c>
      <c r="I34" s="17">
        <f>ROUND(E34*F34,2)</f>
        <v>0</v>
      </c>
      <c r="J34" s="17">
        <v>1.0800000000000001E-2</v>
      </c>
      <c r="K34" s="17">
        <f>E34*J34</f>
        <v>5.2596000000000004E-2</v>
      </c>
      <c r="L34" s="28" t="s">
        <v>307</v>
      </c>
      <c r="M34" s="28" t="s">
        <v>235</v>
      </c>
      <c r="N34" s="17">
        <f>IF(M34="5",H34,0)</f>
        <v>0</v>
      </c>
      <c r="Y34" s="17">
        <f>IF(AC34=0,I34,0)</f>
        <v>0</v>
      </c>
      <c r="Z34" s="17">
        <f>IF(AC34=15,I34,0)</f>
        <v>0</v>
      </c>
      <c r="AA34" s="17">
        <f>IF(AC34=21,I34,0)</f>
        <v>0</v>
      </c>
      <c r="AC34" s="32">
        <v>21</v>
      </c>
      <c r="AD34" s="32">
        <f>F34*1</f>
        <v>0</v>
      </c>
      <c r="AE34" s="32">
        <f>F34*(1-1)</f>
        <v>0</v>
      </c>
    </row>
    <row r="35" spans="1:36">
      <c r="C35" s="67" t="s">
        <v>138</v>
      </c>
      <c r="D35" s="68"/>
      <c r="E35" s="69">
        <v>4.43</v>
      </c>
      <c r="F35" s="68"/>
    </row>
    <row r="36" spans="1:36">
      <c r="C36" s="67" t="s">
        <v>139</v>
      </c>
      <c r="D36" s="68"/>
      <c r="E36" s="69">
        <v>0.44</v>
      </c>
      <c r="F36" s="68"/>
    </row>
    <row r="37" spans="1:36">
      <c r="A37" s="5" t="s">
        <v>16</v>
      </c>
      <c r="B37" s="5" t="s">
        <v>68</v>
      </c>
      <c r="C37" s="70" t="s">
        <v>140</v>
      </c>
      <c r="D37" s="70" t="s">
        <v>211</v>
      </c>
      <c r="E37" s="71">
        <v>4.43</v>
      </c>
      <c r="F37" s="83">
        <v>0</v>
      </c>
      <c r="G37" s="18">
        <f>ROUND(E37*AD37,2)</f>
        <v>0</v>
      </c>
      <c r="H37" s="18">
        <f>I37-G37</f>
        <v>0</v>
      </c>
      <c r="I37" s="18">
        <f>ROUND(E37*F37,2)</f>
        <v>0</v>
      </c>
      <c r="J37" s="18">
        <v>3.1E-4</v>
      </c>
      <c r="K37" s="18">
        <f>E37*J37</f>
        <v>1.3732999999999998E-3</v>
      </c>
      <c r="L37" s="29" t="s">
        <v>307</v>
      </c>
      <c r="M37" s="29" t="s">
        <v>6</v>
      </c>
      <c r="N37" s="18">
        <f>IF(M37="5",H37,0)</f>
        <v>0</v>
      </c>
      <c r="Y37" s="18">
        <f>IF(AC37=0,I37,0)</f>
        <v>0</v>
      </c>
      <c r="Z37" s="18">
        <f>IF(AC37=15,I37,0)</f>
        <v>0</v>
      </c>
      <c r="AA37" s="18">
        <f>IF(AC37=21,I37,0)</f>
        <v>0</v>
      </c>
      <c r="AC37" s="32">
        <v>21</v>
      </c>
      <c r="AD37" s="32">
        <f>F37*0.0192565947242206</f>
        <v>0</v>
      </c>
      <c r="AE37" s="32">
        <f>F37*(1-0.0192565947242206)</f>
        <v>0</v>
      </c>
    </row>
    <row r="38" spans="1:36">
      <c r="C38" s="67" t="s">
        <v>141</v>
      </c>
      <c r="D38" s="68"/>
      <c r="E38" s="69">
        <v>4.43</v>
      </c>
      <c r="F38" s="68"/>
    </row>
    <row r="39" spans="1:36">
      <c r="A39" s="5" t="s">
        <v>17</v>
      </c>
      <c r="B39" s="5" t="s">
        <v>69</v>
      </c>
      <c r="C39" s="70" t="s">
        <v>142</v>
      </c>
      <c r="D39" s="70" t="s">
        <v>210</v>
      </c>
      <c r="E39" s="71">
        <v>22.16</v>
      </c>
      <c r="F39" s="83">
        <v>0</v>
      </c>
      <c r="G39" s="18">
        <f>ROUND(E39*AD39,2)</f>
        <v>0</v>
      </c>
      <c r="H39" s="18">
        <f>I39-G39</f>
        <v>0</v>
      </c>
      <c r="I39" s="18">
        <f>ROUND(E39*F39,2)</f>
        <v>0</v>
      </c>
      <c r="J39" s="18">
        <v>2.7999999999999998E-4</v>
      </c>
      <c r="K39" s="18">
        <f>E39*J39</f>
        <v>6.2047999999999999E-3</v>
      </c>
      <c r="L39" s="29" t="s">
        <v>307</v>
      </c>
      <c r="M39" s="29" t="s">
        <v>6</v>
      </c>
      <c r="N39" s="18">
        <f>IF(M39="5",H39,0)</f>
        <v>0</v>
      </c>
      <c r="Y39" s="18">
        <f>IF(AC39=0,I39,0)</f>
        <v>0</v>
      </c>
      <c r="Z39" s="18">
        <f>IF(AC39=15,I39,0)</f>
        <v>0</v>
      </c>
      <c r="AA39" s="18">
        <f>IF(AC39=21,I39,0)</f>
        <v>0</v>
      </c>
      <c r="AC39" s="32">
        <v>21</v>
      </c>
      <c r="AD39" s="32">
        <f>F39*0.204177993990557</f>
        <v>0</v>
      </c>
      <c r="AE39" s="32">
        <f>F39*(1-0.204177993990557)</f>
        <v>0</v>
      </c>
    </row>
    <row r="40" spans="1:36">
      <c r="C40" s="67" t="s">
        <v>143</v>
      </c>
      <c r="D40" s="68"/>
      <c r="E40" s="69">
        <v>22.16</v>
      </c>
      <c r="F40" s="68"/>
    </row>
    <row r="41" spans="1:36">
      <c r="A41" s="5" t="s">
        <v>18</v>
      </c>
      <c r="B41" s="5" t="s">
        <v>70</v>
      </c>
      <c r="C41" s="70" t="s">
        <v>144</v>
      </c>
      <c r="D41" s="70" t="s">
        <v>213</v>
      </c>
      <c r="E41" s="71">
        <v>18.93</v>
      </c>
      <c r="F41" s="83">
        <v>0</v>
      </c>
      <c r="G41" s="18">
        <f>ROUND(E41*AD41,2)</f>
        <v>0</v>
      </c>
      <c r="H41" s="18">
        <f>I41-G41</f>
        <v>0</v>
      </c>
      <c r="I41" s="18">
        <f>ROUND(E41*F41,2)</f>
        <v>0</v>
      </c>
      <c r="J41" s="18">
        <v>0</v>
      </c>
      <c r="K41" s="18">
        <f>E41*J41</f>
        <v>0</v>
      </c>
      <c r="L41" s="29" t="s">
        <v>307</v>
      </c>
      <c r="M41" s="29" t="s">
        <v>10</v>
      </c>
      <c r="N41" s="18">
        <f>IF(M41="5",H41,0)</f>
        <v>0</v>
      </c>
      <c r="Y41" s="18">
        <f>IF(AC41=0,I41,0)</f>
        <v>0</v>
      </c>
      <c r="Z41" s="18">
        <f>IF(AC41=15,I41,0)</f>
        <v>0</v>
      </c>
      <c r="AA41" s="18">
        <f>IF(AC41=21,I41,0)</f>
        <v>0</v>
      </c>
      <c r="AC41" s="32">
        <v>21</v>
      </c>
      <c r="AD41" s="32">
        <f>F41*0</f>
        <v>0</v>
      </c>
      <c r="AE41" s="32">
        <f>F41*(1-0)</f>
        <v>0</v>
      </c>
    </row>
    <row r="42" spans="1:36">
      <c r="C42" s="67" t="s">
        <v>145</v>
      </c>
      <c r="D42" s="68"/>
      <c r="E42" s="69">
        <v>18.93</v>
      </c>
      <c r="F42" s="68"/>
    </row>
    <row r="43" spans="1:36">
      <c r="A43" s="5" t="s">
        <v>19</v>
      </c>
      <c r="B43" s="5" t="s">
        <v>70</v>
      </c>
      <c r="C43" s="70" t="s">
        <v>144</v>
      </c>
      <c r="D43" s="70" t="s">
        <v>213</v>
      </c>
      <c r="E43" s="71">
        <v>6.0170000000000001E-2</v>
      </c>
      <c r="F43" s="83">
        <v>0</v>
      </c>
      <c r="G43" s="18">
        <f>ROUND(E43*AD43,2)</f>
        <v>0</v>
      </c>
      <c r="H43" s="18">
        <f>I43-G43</f>
        <v>0</v>
      </c>
      <c r="I43" s="18">
        <f>ROUND(E43*F43,2)</f>
        <v>0</v>
      </c>
      <c r="J43" s="18">
        <v>0</v>
      </c>
      <c r="K43" s="18">
        <f>E43*J43</f>
        <v>0</v>
      </c>
      <c r="L43" s="29" t="s">
        <v>307</v>
      </c>
      <c r="M43" s="29" t="s">
        <v>10</v>
      </c>
      <c r="N43" s="18">
        <f>IF(M43="5",H43,0)</f>
        <v>0</v>
      </c>
      <c r="Y43" s="18">
        <f>IF(AC43=0,I43,0)</f>
        <v>0</v>
      </c>
      <c r="Z43" s="18">
        <f>IF(AC43=15,I43,0)</f>
        <v>0</v>
      </c>
      <c r="AA43" s="18">
        <f>IF(AC43=21,I43,0)</f>
        <v>0</v>
      </c>
      <c r="AC43" s="32">
        <v>21</v>
      </c>
      <c r="AD43" s="32">
        <f>F43*0</f>
        <v>0</v>
      </c>
      <c r="AE43" s="32">
        <f>F43*(1-0)</f>
        <v>0</v>
      </c>
    </row>
    <row r="44" spans="1:36">
      <c r="A44" s="6"/>
      <c r="B44" s="13" t="s">
        <v>71</v>
      </c>
      <c r="C44" s="94" t="s">
        <v>146</v>
      </c>
      <c r="D44" s="95"/>
      <c r="E44" s="95"/>
      <c r="F44" s="95"/>
      <c r="G44" s="34">
        <f>SUM(G45:G53)</f>
        <v>0</v>
      </c>
      <c r="H44" s="34">
        <f>SUM(H45:H53)</f>
        <v>0</v>
      </c>
      <c r="I44" s="34">
        <f>G44+H44</f>
        <v>0</v>
      </c>
      <c r="J44" s="25"/>
      <c r="K44" s="34">
        <f>SUM(K45:K53)</f>
        <v>0.83120000000000005</v>
      </c>
      <c r="L44" s="25"/>
      <c r="O44" s="34">
        <f>IF(P44="PR",I44,SUM(N45:N53))</f>
        <v>0</v>
      </c>
      <c r="P44" s="25" t="s">
        <v>239</v>
      </c>
      <c r="Q44" s="34">
        <f>IF(P44="HS",G44,0)</f>
        <v>0</v>
      </c>
      <c r="R44" s="34">
        <f>IF(P44="HS",H44-O44,0)</f>
        <v>0</v>
      </c>
      <c r="S44" s="34">
        <f>IF(P44="PS",G44,0)</f>
        <v>0</v>
      </c>
      <c r="T44" s="34">
        <f>IF(P44="PS",H44-O44,0)</f>
        <v>0</v>
      </c>
      <c r="U44" s="34">
        <f>IF(P44="MP",G44,0)</f>
        <v>0</v>
      </c>
      <c r="V44" s="34">
        <f>IF(P44="MP",H44-O44,0)</f>
        <v>0</v>
      </c>
      <c r="W44" s="34">
        <f>IF(P44="OM",G44,0)</f>
        <v>0</v>
      </c>
      <c r="X44" s="25"/>
      <c r="AH44" s="34">
        <f>SUM(Y45:Y53)</f>
        <v>0</v>
      </c>
      <c r="AI44" s="34">
        <f>SUM(Z45:Z53)</f>
        <v>0</v>
      </c>
      <c r="AJ44" s="34">
        <f>SUM(AA45:AA53)</f>
        <v>0</v>
      </c>
    </row>
    <row r="45" spans="1:36" ht="409.5" customHeight="1">
      <c r="A45" s="4" t="s">
        <v>20</v>
      </c>
      <c r="B45" s="4" t="s">
        <v>72</v>
      </c>
      <c r="C45" s="89" t="s">
        <v>321</v>
      </c>
      <c r="D45" s="65" t="s">
        <v>214</v>
      </c>
      <c r="E45" s="66">
        <v>2</v>
      </c>
      <c r="F45" s="82">
        <v>0</v>
      </c>
      <c r="G45" s="17">
        <f>ROUND(E45*AD45,2)</f>
        <v>0</v>
      </c>
      <c r="H45" s="17">
        <f>I45-G45</f>
        <v>0</v>
      </c>
      <c r="I45" s="17">
        <f>ROUND(E45*F45,2)</f>
        <v>0</v>
      </c>
      <c r="J45" s="17">
        <v>0.22</v>
      </c>
      <c r="K45" s="17">
        <f>E45*J45</f>
        <v>0.44</v>
      </c>
      <c r="L45" s="28" t="s">
        <v>325</v>
      </c>
      <c r="M45" s="28" t="s">
        <v>235</v>
      </c>
      <c r="N45" s="17">
        <f>IF(M45="5",H45,0)</f>
        <v>0</v>
      </c>
      <c r="Y45" s="17">
        <f>IF(AC45=0,I45,0)</f>
        <v>0</v>
      </c>
      <c r="Z45" s="17">
        <f>IF(AC45=15,I45,0)</f>
        <v>0</v>
      </c>
      <c r="AA45" s="17">
        <f>IF(AC45=21,I45,0)</f>
        <v>0</v>
      </c>
      <c r="AC45" s="32">
        <v>21</v>
      </c>
      <c r="AD45" s="32">
        <f>F45*1</f>
        <v>0</v>
      </c>
      <c r="AE45" s="32">
        <f>F45*(1-1)</f>
        <v>0</v>
      </c>
    </row>
    <row r="46" spans="1:36">
      <c r="C46" s="67" t="s">
        <v>147</v>
      </c>
      <c r="D46" s="68"/>
      <c r="E46" s="69">
        <v>2</v>
      </c>
      <c r="F46" s="68"/>
    </row>
    <row r="47" spans="1:36" ht="399.75" customHeight="1">
      <c r="A47" s="4" t="s">
        <v>21</v>
      </c>
      <c r="B47" s="4" t="s">
        <v>73</v>
      </c>
      <c r="C47" s="89" t="s">
        <v>322</v>
      </c>
      <c r="D47" s="65" t="s">
        <v>214</v>
      </c>
      <c r="E47" s="66">
        <v>2</v>
      </c>
      <c r="F47" s="82">
        <v>0</v>
      </c>
      <c r="G47" s="17">
        <f>ROUND(E47*AD47,2)</f>
        <v>0</v>
      </c>
      <c r="H47" s="17">
        <f>I47-G47</f>
        <v>0</v>
      </c>
      <c r="I47" s="17">
        <f>ROUND(E47*F47,2)</f>
        <v>0</v>
      </c>
      <c r="J47" s="17">
        <v>0.18</v>
      </c>
      <c r="K47" s="17">
        <f>E47*J47</f>
        <v>0.36</v>
      </c>
      <c r="L47" s="28" t="s">
        <v>325</v>
      </c>
      <c r="M47" s="28" t="s">
        <v>235</v>
      </c>
      <c r="N47" s="17">
        <f>IF(M47="5",H47,0)</f>
        <v>0</v>
      </c>
      <c r="Y47" s="17">
        <f>IF(AC47=0,I47,0)</f>
        <v>0</v>
      </c>
      <c r="Z47" s="17">
        <f>IF(AC47=15,I47,0)</f>
        <v>0</v>
      </c>
      <c r="AA47" s="17">
        <f>IF(AC47=21,I47,0)</f>
        <v>0</v>
      </c>
      <c r="AC47" s="32">
        <v>21</v>
      </c>
      <c r="AD47" s="32">
        <f>F47*1</f>
        <v>0</v>
      </c>
      <c r="AE47" s="32">
        <f>F47*(1-1)</f>
        <v>0</v>
      </c>
    </row>
    <row r="48" spans="1:36">
      <c r="C48" s="67" t="s">
        <v>147</v>
      </c>
      <c r="D48" s="68"/>
      <c r="E48" s="69">
        <v>2</v>
      </c>
      <c r="F48" s="68"/>
    </row>
    <row r="49" spans="1:36" ht="138" customHeight="1">
      <c r="A49" s="70" t="s">
        <v>323</v>
      </c>
      <c r="B49" s="5" t="s">
        <v>324</v>
      </c>
      <c r="C49" s="90" t="s">
        <v>327</v>
      </c>
      <c r="D49" s="70" t="s">
        <v>214</v>
      </c>
      <c r="E49" s="71">
        <v>1</v>
      </c>
      <c r="F49" s="82">
        <v>0</v>
      </c>
      <c r="G49" s="17">
        <f>ROUND(E49*AD49,2)</f>
        <v>0</v>
      </c>
      <c r="H49" s="17">
        <f>I49-G49</f>
        <v>0</v>
      </c>
      <c r="I49" s="17">
        <f>ROUND(E49*F49,2)</f>
        <v>0</v>
      </c>
      <c r="J49" s="17">
        <v>1.9199999999999998E-2</v>
      </c>
      <c r="K49" s="17">
        <f>E49*J49</f>
        <v>1.9199999999999998E-2</v>
      </c>
      <c r="L49" s="28" t="s">
        <v>325</v>
      </c>
    </row>
    <row r="50" spans="1:36" ht="391.5" customHeight="1">
      <c r="A50" s="5"/>
      <c r="B50" s="5"/>
      <c r="C50" s="91" t="s">
        <v>326</v>
      </c>
      <c r="D50" s="70"/>
      <c r="E50" s="71"/>
      <c r="F50" s="71"/>
      <c r="G50" s="18"/>
      <c r="H50" s="18"/>
      <c r="I50" s="18"/>
      <c r="J50" s="18"/>
      <c r="K50" s="18"/>
      <c r="L50" s="29"/>
    </row>
    <row r="51" spans="1:36" ht="51">
      <c r="A51" s="4" t="s">
        <v>22</v>
      </c>
      <c r="B51" s="4" t="s">
        <v>74</v>
      </c>
      <c r="C51" s="65" t="s">
        <v>148</v>
      </c>
      <c r="D51" s="65" t="s">
        <v>214</v>
      </c>
      <c r="E51" s="66">
        <v>2</v>
      </c>
      <c r="F51" s="82">
        <v>0</v>
      </c>
      <c r="G51" s="17">
        <f>ROUND(E51*AD51,2)</f>
        <v>0</v>
      </c>
      <c r="H51" s="17">
        <f>I51-G51</f>
        <v>0</v>
      </c>
      <c r="I51" s="17">
        <f>ROUND(E51*F51,2)</f>
        <v>0</v>
      </c>
      <c r="J51" s="17">
        <v>6.0000000000000001E-3</v>
      </c>
      <c r="K51" s="17">
        <f>E51*J51</f>
        <v>1.2E-2</v>
      </c>
      <c r="L51" s="28" t="s">
        <v>325</v>
      </c>
      <c r="M51" s="28" t="s">
        <v>235</v>
      </c>
      <c r="N51" s="17">
        <f>IF(M51="5",H51,0)</f>
        <v>0</v>
      </c>
      <c r="Y51" s="17">
        <f>IF(AC51=0,I51,0)</f>
        <v>0</v>
      </c>
      <c r="Z51" s="17">
        <f>IF(AC51=15,I51,0)</f>
        <v>0</v>
      </c>
      <c r="AA51" s="17">
        <f>IF(AC51=21,I51,0)</f>
        <v>0</v>
      </c>
      <c r="AC51" s="32">
        <v>21</v>
      </c>
      <c r="AD51" s="32">
        <f>F51*1</f>
        <v>0</v>
      </c>
      <c r="AE51" s="32">
        <f>F51*(1-1)</f>
        <v>0</v>
      </c>
    </row>
    <row r="52" spans="1:36">
      <c r="C52" s="67" t="s">
        <v>149</v>
      </c>
      <c r="D52" s="68"/>
      <c r="E52" s="69">
        <v>2</v>
      </c>
      <c r="F52" s="68"/>
    </row>
    <row r="53" spans="1:36" ht="25.5">
      <c r="A53" s="5" t="s">
        <v>23</v>
      </c>
      <c r="B53" s="5" t="s">
        <v>75</v>
      </c>
      <c r="C53" s="70" t="s">
        <v>150</v>
      </c>
      <c r="D53" s="70" t="s">
        <v>213</v>
      </c>
      <c r="E53" s="71">
        <v>0.81200000000000006</v>
      </c>
      <c r="F53" s="83">
        <v>0</v>
      </c>
      <c r="G53" s="18">
        <f>ROUND(E53*AD53,2)</f>
        <v>0</v>
      </c>
      <c r="H53" s="18">
        <f>I53-G53</f>
        <v>0</v>
      </c>
      <c r="I53" s="18">
        <f>ROUND(E53*F53,2)</f>
        <v>0</v>
      </c>
      <c r="J53" s="18">
        <v>0</v>
      </c>
      <c r="K53" s="18">
        <f>E53*J53</f>
        <v>0</v>
      </c>
      <c r="L53" s="29" t="s">
        <v>307</v>
      </c>
      <c r="M53" s="29" t="s">
        <v>10</v>
      </c>
      <c r="N53" s="18">
        <f>IF(M53="5",H53,0)</f>
        <v>0</v>
      </c>
      <c r="Y53" s="18">
        <f>IF(AC53=0,I53,0)</f>
        <v>0</v>
      </c>
      <c r="Z53" s="18">
        <f>IF(AC53=15,I53,0)</f>
        <v>0</v>
      </c>
      <c r="AA53" s="18">
        <f>IF(AC53=21,I53,0)</f>
        <v>0</v>
      </c>
      <c r="AC53" s="32">
        <v>21</v>
      </c>
      <c r="AD53" s="32">
        <f>F53*0</f>
        <v>0</v>
      </c>
      <c r="AE53" s="32">
        <f>F53*(1-0)</f>
        <v>0</v>
      </c>
    </row>
    <row r="54" spans="1:36">
      <c r="A54" s="6"/>
      <c r="B54" s="13" t="s">
        <v>76</v>
      </c>
      <c r="C54" s="94" t="s">
        <v>151</v>
      </c>
      <c r="D54" s="95"/>
      <c r="E54" s="95"/>
      <c r="F54" s="95"/>
      <c r="G54" s="34">
        <f>SUM(G55:G66)</f>
        <v>0</v>
      </c>
      <c r="H54" s="34">
        <f>SUM(H55:H66)</f>
        <v>0</v>
      </c>
      <c r="I54" s="34">
        <f>G54+H54</f>
        <v>0</v>
      </c>
      <c r="J54" s="25"/>
      <c r="K54" s="34">
        <f>SUM(K55:K66)</f>
        <v>0.34122230000000003</v>
      </c>
      <c r="L54" s="25"/>
      <c r="O54" s="34">
        <f>IF(P54="PR",I54,SUM(N55:N66))</f>
        <v>0</v>
      </c>
      <c r="P54" s="25" t="s">
        <v>239</v>
      </c>
      <c r="Q54" s="34">
        <f>IF(P54="HS",G54,0)</f>
        <v>0</v>
      </c>
      <c r="R54" s="34">
        <f>IF(P54="HS",H54-O54,0)</f>
        <v>0</v>
      </c>
      <c r="S54" s="34">
        <f>IF(P54="PS",G54,0)</f>
        <v>0</v>
      </c>
      <c r="T54" s="34">
        <f>IF(P54="PS",H54-O54,0)</f>
        <v>0</v>
      </c>
      <c r="U54" s="34">
        <f>IF(P54="MP",G54,0)</f>
        <v>0</v>
      </c>
      <c r="V54" s="34">
        <f>IF(P54="MP",H54-O54,0)</f>
        <v>0</v>
      </c>
      <c r="W54" s="34">
        <f>IF(P54="OM",G54,0)</f>
        <v>0</v>
      </c>
      <c r="X54" s="25"/>
      <c r="AH54" s="34">
        <f>SUM(Y55:Y66)</f>
        <v>0</v>
      </c>
      <c r="AI54" s="34">
        <f>SUM(Z55:Z66)</f>
        <v>0</v>
      </c>
      <c r="AJ54" s="34">
        <f>SUM(AA55:AA66)</f>
        <v>0</v>
      </c>
    </row>
    <row r="55" spans="1:36" ht="51">
      <c r="A55" s="4" t="s">
        <v>24</v>
      </c>
      <c r="B55" s="4" t="s">
        <v>77</v>
      </c>
      <c r="C55" s="65" t="s">
        <v>152</v>
      </c>
      <c r="D55" s="65" t="s">
        <v>211</v>
      </c>
      <c r="E55" s="66">
        <v>17.25</v>
      </c>
      <c r="F55" s="82">
        <v>0</v>
      </c>
      <c r="G55" s="17">
        <f>ROUND(E55*AD55,2)</f>
        <v>0</v>
      </c>
      <c r="H55" s="17">
        <f>I55-G55</f>
        <v>0</v>
      </c>
      <c r="I55" s="17">
        <f>ROUND(E55*F55,2)</f>
        <v>0</v>
      </c>
      <c r="J55" s="17">
        <v>1.9199999999999998E-2</v>
      </c>
      <c r="K55" s="17">
        <f>E55*J55</f>
        <v>0.33119999999999999</v>
      </c>
      <c r="L55" s="28" t="s">
        <v>307</v>
      </c>
      <c r="M55" s="28" t="s">
        <v>235</v>
      </c>
      <c r="N55" s="17">
        <f>IF(M55="5",H55,0)</f>
        <v>0</v>
      </c>
      <c r="Y55" s="17">
        <f>IF(AC55=0,I55,0)</f>
        <v>0</v>
      </c>
      <c r="Z55" s="17">
        <f>IF(AC55=15,I55,0)</f>
        <v>0</v>
      </c>
      <c r="AA55" s="17">
        <f>IF(AC55=21,I55,0)</f>
        <v>0</v>
      </c>
      <c r="AC55" s="32">
        <v>21</v>
      </c>
      <c r="AD55" s="32">
        <f>F55*1</f>
        <v>0</v>
      </c>
      <c r="AE55" s="32">
        <f>F55*(1-1)</f>
        <v>0</v>
      </c>
    </row>
    <row r="56" spans="1:36" ht="25.5">
      <c r="C56" s="67" t="s">
        <v>153</v>
      </c>
      <c r="D56" s="68"/>
      <c r="E56" s="69">
        <v>16.43</v>
      </c>
      <c r="F56" s="68"/>
    </row>
    <row r="57" spans="1:36">
      <c r="C57" s="67" t="s">
        <v>154</v>
      </c>
      <c r="D57" s="68"/>
      <c r="E57" s="69">
        <v>0.82</v>
      </c>
      <c r="F57" s="68"/>
    </row>
    <row r="58" spans="1:36" ht="25.5">
      <c r="A58" s="5" t="s">
        <v>25</v>
      </c>
      <c r="B58" s="5" t="s">
        <v>78</v>
      </c>
      <c r="C58" s="70" t="s">
        <v>155</v>
      </c>
      <c r="D58" s="70" t="s">
        <v>211</v>
      </c>
      <c r="E58" s="71">
        <v>2.16</v>
      </c>
      <c r="F58" s="83">
        <v>0</v>
      </c>
      <c r="G58" s="18">
        <f>ROUND(E58*AD58,2)</f>
        <v>0</v>
      </c>
      <c r="H58" s="18">
        <f>I58-G58</f>
        <v>0</v>
      </c>
      <c r="I58" s="18">
        <f>ROUND(E58*F58,2)</f>
        <v>0</v>
      </c>
      <c r="J58" s="18">
        <v>0</v>
      </c>
      <c r="K58" s="18">
        <f>E58*J58</f>
        <v>0</v>
      </c>
      <c r="L58" s="29" t="s">
        <v>307</v>
      </c>
      <c r="M58" s="29" t="s">
        <v>6</v>
      </c>
      <c r="N58" s="18">
        <f>IF(M58="5",H58,0)</f>
        <v>0</v>
      </c>
      <c r="Y58" s="18">
        <f>IF(AC58=0,I58,0)</f>
        <v>0</v>
      </c>
      <c r="Z58" s="18">
        <f>IF(AC58=15,I58,0)</f>
        <v>0</v>
      </c>
      <c r="AA58" s="18">
        <f>IF(AC58=21,I58,0)</f>
        <v>0</v>
      </c>
      <c r="AC58" s="32">
        <v>21</v>
      </c>
      <c r="AD58" s="32">
        <f>F58*0</f>
        <v>0</v>
      </c>
      <c r="AE58" s="32">
        <f>F58*(1-0)</f>
        <v>0</v>
      </c>
    </row>
    <row r="59" spans="1:36">
      <c r="C59" s="67" t="s">
        <v>156</v>
      </c>
      <c r="D59" s="68"/>
      <c r="E59" s="69">
        <v>2.16</v>
      </c>
      <c r="F59" s="68"/>
    </row>
    <row r="60" spans="1:36">
      <c r="A60" s="5" t="s">
        <v>26</v>
      </c>
      <c r="B60" s="5" t="s">
        <v>79</v>
      </c>
      <c r="C60" s="70" t="s">
        <v>157</v>
      </c>
      <c r="D60" s="70" t="s">
        <v>211</v>
      </c>
      <c r="E60" s="71">
        <v>16.43</v>
      </c>
      <c r="F60" s="83">
        <v>0</v>
      </c>
      <c r="G60" s="18">
        <f>ROUND(E60*AD60,2)</f>
        <v>0</v>
      </c>
      <c r="H60" s="18">
        <f>I60-G60</f>
        <v>0</v>
      </c>
      <c r="I60" s="18">
        <f>ROUND(E60*F60,2)</f>
        <v>0</v>
      </c>
      <c r="J60" s="18">
        <v>2.1000000000000001E-4</v>
      </c>
      <c r="K60" s="18">
        <f>E60*J60</f>
        <v>3.4502999999999999E-3</v>
      </c>
      <c r="L60" s="29" t="s">
        <v>307</v>
      </c>
      <c r="M60" s="29" t="s">
        <v>6</v>
      </c>
      <c r="N60" s="18">
        <f>IF(M60="5",H60,0)</f>
        <v>0</v>
      </c>
      <c r="Y60" s="18">
        <f>IF(AC60=0,I60,0)</f>
        <v>0</v>
      </c>
      <c r="Z60" s="18">
        <f>IF(AC60=15,I60,0)</f>
        <v>0</v>
      </c>
      <c r="AA60" s="18">
        <f>IF(AC60=21,I60,0)</f>
        <v>0</v>
      </c>
      <c r="AC60" s="32">
        <v>21</v>
      </c>
      <c r="AD60" s="32">
        <f>F60*0.562912087912088</f>
        <v>0</v>
      </c>
      <c r="AE60" s="32">
        <f>F60*(1-0.562912087912088)</f>
        <v>0</v>
      </c>
    </row>
    <row r="61" spans="1:36" ht="25.5">
      <c r="C61" s="67" t="s">
        <v>153</v>
      </c>
      <c r="D61" s="68"/>
      <c r="E61" s="69">
        <v>16.43</v>
      </c>
      <c r="F61" s="68"/>
    </row>
    <row r="62" spans="1:36" ht="25.5">
      <c r="A62" s="5" t="s">
        <v>27</v>
      </c>
      <c r="B62" s="5" t="s">
        <v>80</v>
      </c>
      <c r="C62" s="70" t="s">
        <v>158</v>
      </c>
      <c r="D62" s="70" t="s">
        <v>211</v>
      </c>
      <c r="E62" s="71">
        <v>16.43</v>
      </c>
      <c r="F62" s="83">
        <v>0</v>
      </c>
      <c r="G62" s="18">
        <f>ROUND(E62*AD62,2)</f>
        <v>0</v>
      </c>
      <c r="H62" s="18">
        <f>I62-G62</f>
        <v>0</v>
      </c>
      <c r="I62" s="18">
        <f>ROUND(E62*F62,2)</f>
        <v>0</v>
      </c>
      <c r="J62" s="18">
        <v>0</v>
      </c>
      <c r="K62" s="18">
        <f>E62*J62</f>
        <v>0</v>
      </c>
      <c r="L62" s="29" t="s">
        <v>307</v>
      </c>
      <c r="M62" s="29" t="s">
        <v>6</v>
      </c>
      <c r="N62" s="18">
        <f>IF(M62="5",H62,0)</f>
        <v>0</v>
      </c>
      <c r="Y62" s="18">
        <f>IF(AC62=0,I62,0)</f>
        <v>0</v>
      </c>
      <c r="Z62" s="18">
        <f>IF(AC62=15,I62,0)</f>
        <v>0</v>
      </c>
      <c r="AA62" s="18">
        <f>IF(AC62=21,I62,0)</f>
        <v>0</v>
      </c>
      <c r="AC62" s="32">
        <v>21</v>
      </c>
      <c r="AD62" s="32">
        <f>F62*0</f>
        <v>0</v>
      </c>
      <c r="AE62" s="32">
        <f>F62*(1-0)</f>
        <v>0</v>
      </c>
    </row>
    <row r="63" spans="1:36" ht="25.5">
      <c r="C63" s="67" t="s">
        <v>153</v>
      </c>
      <c r="D63" s="68"/>
      <c r="E63" s="69">
        <v>16.43</v>
      </c>
      <c r="F63" s="68"/>
    </row>
    <row r="64" spans="1:36">
      <c r="A64" s="5" t="s">
        <v>28</v>
      </c>
      <c r="B64" s="5" t="s">
        <v>81</v>
      </c>
      <c r="C64" s="70" t="s">
        <v>159</v>
      </c>
      <c r="D64" s="70" t="s">
        <v>211</v>
      </c>
      <c r="E64" s="71">
        <v>16.43</v>
      </c>
      <c r="F64" s="83">
        <v>0</v>
      </c>
      <c r="G64" s="18">
        <f>ROUND(E64*AD64,2)</f>
        <v>0</v>
      </c>
      <c r="H64" s="18">
        <f>I64-G64</f>
        <v>0</v>
      </c>
      <c r="I64" s="18">
        <f>ROUND(E64*F64,2)</f>
        <v>0</v>
      </c>
      <c r="J64" s="18">
        <v>4.0000000000000002E-4</v>
      </c>
      <c r="K64" s="18">
        <f>E64*J64</f>
        <v>6.5720000000000006E-3</v>
      </c>
      <c r="L64" s="29" t="s">
        <v>307</v>
      </c>
      <c r="M64" s="29" t="s">
        <v>6</v>
      </c>
      <c r="N64" s="18">
        <f>IF(M64="5",H64,0)</f>
        <v>0</v>
      </c>
      <c r="Y64" s="18">
        <f>IF(AC64=0,I64,0)</f>
        <v>0</v>
      </c>
      <c r="Z64" s="18">
        <f>IF(AC64=15,I64,0)</f>
        <v>0</v>
      </c>
      <c r="AA64" s="18">
        <f>IF(AC64=21,I64,0)</f>
        <v>0</v>
      </c>
      <c r="AC64" s="32">
        <v>21</v>
      </c>
      <c r="AD64" s="32">
        <f>F64*1</f>
        <v>0</v>
      </c>
      <c r="AE64" s="32">
        <f>F64*(1-1)</f>
        <v>0</v>
      </c>
    </row>
    <row r="65" spans="1:36" ht="25.5">
      <c r="C65" s="67" t="s">
        <v>153</v>
      </c>
      <c r="D65" s="68"/>
      <c r="E65" s="69">
        <v>16.43</v>
      </c>
      <c r="F65" s="68"/>
    </row>
    <row r="66" spans="1:36">
      <c r="A66" s="5" t="s">
        <v>29</v>
      </c>
      <c r="B66" s="5" t="s">
        <v>82</v>
      </c>
      <c r="C66" s="70" t="s">
        <v>160</v>
      </c>
      <c r="D66" s="70" t="s">
        <v>213</v>
      </c>
      <c r="E66" s="71">
        <v>0.34122000000000002</v>
      </c>
      <c r="F66" s="83">
        <v>0</v>
      </c>
      <c r="G66" s="18">
        <f>ROUND(E66*AD66,2)</f>
        <v>0</v>
      </c>
      <c r="H66" s="18">
        <f>I66-G66</f>
        <v>0</v>
      </c>
      <c r="I66" s="18">
        <f>ROUND(E66*F66,2)</f>
        <v>0</v>
      </c>
      <c r="J66" s="18">
        <v>0</v>
      </c>
      <c r="K66" s="18">
        <f>E66*J66</f>
        <v>0</v>
      </c>
      <c r="L66" s="29" t="s">
        <v>307</v>
      </c>
      <c r="M66" s="29" t="s">
        <v>10</v>
      </c>
      <c r="N66" s="18">
        <f>IF(M66="5",H66,0)</f>
        <v>0</v>
      </c>
      <c r="Y66" s="18">
        <f>IF(AC66=0,I66,0)</f>
        <v>0</v>
      </c>
      <c r="Z66" s="18">
        <f>IF(AC66=15,I66,0)</f>
        <v>0</v>
      </c>
      <c r="AA66" s="18">
        <f>IF(AC66=21,I66,0)</f>
        <v>0</v>
      </c>
      <c r="AC66" s="32">
        <v>21</v>
      </c>
      <c r="AD66" s="32">
        <f>F66*0</f>
        <v>0</v>
      </c>
      <c r="AE66" s="32">
        <f>F66*(1-0)</f>
        <v>0</v>
      </c>
    </row>
    <row r="67" spans="1:36">
      <c r="A67" s="6"/>
      <c r="B67" s="13" t="s">
        <v>83</v>
      </c>
      <c r="C67" s="94" t="s">
        <v>161</v>
      </c>
      <c r="D67" s="95"/>
      <c r="E67" s="95"/>
      <c r="F67" s="95"/>
      <c r="G67" s="34">
        <f>SUM(G68:G68)</f>
        <v>0</v>
      </c>
      <c r="H67" s="34">
        <f>SUM(H68:H68)</f>
        <v>0</v>
      </c>
      <c r="I67" s="34">
        <f>G67+H67</f>
        <v>0</v>
      </c>
      <c r="J67" s="25"/>
      <c r="K67" s="34">
        <f>SUM(K68:K68)</f>
        <v>1.4618999999999999E-3</v>
      </c>
      <c r="L67" s="25"/>
      <c r="O67" s="34">
        <f>IF(P67="PR",I67,SUM(N68:N68))</f>
        <v>0</v>
      </c>
      <c r="P67" s="25" t="s">
        <v>239</v>
      </c>
      <c r="Q67" s="34">
        <f>IF(P67="HS",G67,0)</f>
        <v>0</v>
      </c>
      <c r="R67" s="34">
        <f>IF(P67="HS",H67-O67,0)</f>
        <v>0</v>
      </c>
      <c r="S67" s="34">
        <f>IF(P67="PS",G67,0)</f>
        <v>0</v>
      </c>
      <c r="T67" s="34">
        <f>IF(P67="PS",H67-O67,0)</f>
        <v>0</v>
      </c>
      <c r="U67" s="34">
        <f>IF(P67="MP",G67,0)</f>
        <v>0</v>
      </c>
      <c r="V67" s="34">
        <f>IF(P67="MP",H67-O67,0)</f>
        <v>0</v>
      </c>
      <c r="W67" s="34">
        <f>IF(P67="OM",G67,0)</f>
        <v>0</v>
      </c>
      <c r="X67" s="25"/>
      <c r="AH67" s="34">
        <f>SUM(Y68:Y68)</f>
        <v>0</v>
      </c>
      <c r="AI67" s="34">
        <f>SUM(Z68:Z68)</f>
        <v>0</v>
      </c>
      <c r="AJ67" s="34">
        <f>SUM(AA68:AA68)</f>
        <v>0</v>
      </c>
    </row>
    <row r="68" spans="1:36">
      <c r="A68" s="5" t="s">
        <v>30</v>
      </c>
      <c r="B68" s="5" t="s">
        <v>84</v>
      </c>
      <c r="C68" s="70" t="s">
        <v>162</v>
      </c>
      <c r="D68" s="70" t="s">
        <v>211</v>
      </c>
      <c r="E68" s="71">
        <v>4.43</v>
      </c>
      <c r="F68" s="83">
        <v>0</v>
      </c>
      <c r="G68" s="18">
        <f>ROUND(E68*AD68,2)</f>
        <v>0</v>
      </c>
      <c r="H68" s="18">
        <f>I68-G68</f>
        <v>0</v>
      </c>
      <c r="I68" s="18">
        <f>ROUND(E68*F68,2)</f>
        <v>0</v>
      </c>
      <c r="J68" s="18">
        <v>3.3E-4</v>
      </c>
      <c r="K68" s="18">
        <f>E68*J68</f>
        <v>1.4618999999999999E-3</v>
      </c>
      <c r="L68" s="29" t="s">
        <v>307</v>
      </c>
      <c r="M68" s="29" t="s">
        <v>6</v>
      </c>
      <c r="N68" s="18">
        <f>IF(M68="5",H68,0)</f>
        <v>0</v>
      </c>
      <c r="Y68" s="18">
        <f>IF(AC68=0,I68,0)</f>
        <v>0</v>
      </c>
      <c r="Z68" s="18">
        <f>IF(AC68=15,I68,0)</f>
        <v>0</v>
      </c>
      <c r="AA68" s="18">
        <f>IF(AC68=21,I68,0)</f>
        <v>0</v>
      </c>
      <c r="AC68" s="32">
        <v>21</v>
      </c>
      <c r="AD68" s="32">
        <f>F68*0.463544303797468</f>
        <v>0</v>
      </c>
      <c r="AE68" s="32">
        <f>F68*(1-0.463544303797468)</f>
        <v>0</v>
      </c>
    </row>
    <row r="69" spans="1:36">
      <c r="C69" s="67" t="s">
        <v>138</v>
      </c>
      <c r="D69" s="68"/>
      <c r="E69" s="69">
        <v>4.43</v>
      </c>
      <c r="F69" s="68"/>
    </row>
    <row r="70" spans="1:36">
      <c r="A70" s="6"/>
      <c r="B70" s="13" t="s">
        <v>85</v>
      </c>
      <c r="C70" s="94" t="s">
        <v>163</v>
      </c>
      <c r="D70" s="95"/>
      <c r="E70" s="95"/>
      <c r="F70" s="95"/>
      <c r="G70" s="34">
        <f>SUM(G71:G73)</f>
        <v>0</v>
      </c>
      <c r="H70" s="34">
        <f>SUM(H71:H73)</f>
        <v>0</v>
      </c>
      <c r="I70" s="34">
        <f>G70+H70</f>
        <v>0</v>
      </c>
      <c r="J70" s="25"/>
      <c r="K70" s="34">
        <f>SUM(K71:K73)</f>
        <v>3.0181800000000002E-2</v>
      </c>
      <c r="L70" s="25"/>
      <c r="O70" s="34">
        <f>IF(P70="PR",I70,SUM(N71:N73))</f>
        <v>0</v>
      </c>
      <c r="P70" s="25" t="s">
        <v>239</v>
      </c>
      <c r="Q70" s="34">
        <f>IF(P70="HS",G70,0)</f>
        <v>0</v>
      </c>
      <c r="R70" s="34">
        <f>IF(P70="HS",H70-O70,0)</f>
        <v>0</v>
      </c>
      <c r="S70" s="34">
        <f>IF(P70="PS",G70,0)</f>
        <v>0</v>
      </c>
      <c r="T70" s="34">
        <f>IF(P70="PS",H70-O70,0)</f>
        <v>0</v>
      </c>
      <c r="U70" s="34">
        <f>IF(P70="MP",G70,0)</f>
        <v>0</v>
      </c>
      <c r="V70" s="34">
        <f>IF(P70="MP",H70-O70,0)</f>
        <v>0</v>
      </c>
      <c r="W70" s="34">
        <f>IF(P70="OM",G70,0)</f>
        <v>0</v>
      </c>
      <c r="X70" s="25"/>
      <c r="AH70" s="34">
        <f>SUM(Y71:Y73)</f>
        <v>0</v>
      </c>
      <c r="AI70" s="34">
        <f>SUM(Z71:Z73)</f>
        <v>0</v>
      </c>
      <c r="AJ70" s="34">
        <f>SUM(AA71:AA73)</f>
        <v>0</v>
      </c>
    </row>
    <row r="71" spans="1:36">
      <c r="A71" s="5" t="s">
        <v>31</v>
      </c>
      <c r="B71" s="5" t="s">
        <v>86</v>
      </c>
      <c r="C71" s="70" t="s">
        <v>164</v>
      </c>
      <c r="D71" s="70" t="s">
        <v>211</v>
      </c>
      <c r="E71" s="71">
        <v>59.18</v>
      </c>
      <c r="F71" s="83">
        <v>0</v>
      </c>
      <c r="G71" s="18">
        <f>ROUND(E71*AD71,2)</f>
        <v>0</v>
      </c>
      <c r="H71" s="18">
        <f>I71-G71</f>
        <v>0</v>
      </c>
      <c r="I71" s="18">
        <f>ROUND(E71*F71,2)</f>
        <v>0</v>
      </c>
      <c r="J71" s="18">
        <v>2.0000000000000001E-4</v>
      </c>
      <c r="K71" s="18">
        <f>E71*J71</f>
        <v>1.1836000000000001E-2</v>
      </c>
      <c r="L71" s="29" t="s">
        <v>307</v>
      </c>
      <c r="M71" s="29" t="s">
        <v>6</v>
      </c>
      <c r="N71" s="18">
        <f>IF(M71="5",H71,0)</f>
        <v>0</v>
      </c>
      <c r="Y71" s="18">
        <f>IF(AC71=0,I71,0)</f>
        <v>0</v>
      </c>
      <c r="Z71" s="18">
        <f>IF(AC71=15,I71,0)</f>
        <v>0</v>
      </c>
      <c r="AA71" s="18">
        <f>IF(AC71=21,I71,0)</f>
        <v>0</v>
      </c>
      <c r="AC71" s="32">
        <v>21</v>
      </c>
      <c r="AD71" s="32">
        <f>F71*0.470810810810811</f>
        <v>0</v>
      </c>
      <c r="AE71" s="32">
        <f>F71*(1-0.470810810810811)</f>
        <v>0</v>
      </c>
    </row>
    <row r="72" spans="1:36" ht="25.5">
      <c r="C72" s="67" t="s">
        <v>165</v>
      </c>
      <c r="D72" s="68"/>
      <c r="E72" s="69">
        <v>59.18</v>
      </c>
      <c r="F72" s="68"/>
    </row>
    <row r="73" spans="1:36">
      <c r="A73" s="5" t="s">
        <v>32</v>
      </c>
      <c r="B73" s="5" t="s">
        <v>87</v>
      </c>
      <c r="C73" s="70" t="s">
        <v>166</v>
      </c>
      <c r="D73" s="70" t="s">
        <v>211</v>
      </c>
      <c r="E73" s="71">
        <v>59.18</v>
      </c>
      <c r="F73" s="83">
        <v>0</v>
      </c>
      <c r="G73" s="18">
        <f>ROUND(E73*AD73,2)</f>
        <v>0</v>
      </c>
      <c r="H73" s="18">
        <f>I73-G73</f>
        <v>0</v>
      </c>
      <c r="I73" s="18">
        <f>ROUND(E73*F73,2)</f>
        <v>0</v>
      </c>
      <c r="J73" s="18">
        <v>3.1E-4</v>
      </c>
      <c r="K73" s="18">
        <f>E73*J73</f>
        <v>1.8345799999999999E-2</v>
      </c>
      <c r="L73" s="29" t="s">
        <v>307</v>
      </c>
      <c r="M73" s="29" t="s">
        <v>6</v>
      </c>
      <c r="N73" s="18">
        <f>IF(M73="5",H73,0)</f>
        <v>0</v>
      </c>
      <c r="Y73" s="18">
        <f>IF(AC73=0,I73,0)</f>
        <v>0</v>
      </c>
      <c r="Z73" s="18">
        <f>IF(AC73=15,I73,0)</f>
        <v>0</v>
      </c>
      <c r="AA73" s="18">
        <f>IF(AC73=21,I73,0)</f>
        <v>0</v>
      </c>
      <c r="AC73" s="32">
        <v>21</v>
      </c>
      <c r="AD73" s="32">
        <f>F73*0.284345794392523</f>
        <v>0</v>
      </c>
      <c r="AE73" s="32">
        <f>F73*(1-0.284345794392523)</f>
        <v>0</v>
      </c>
    </row>
    <row r="74" spans="1:36" ht="25.5">
      <c r="C74" s="67" t="s">
        <v>165</v>
      </c>
      <c r="D74" s="68"/>
      <c r="E74" s="69">
        <v>59.18</v>
      </c>
      <c r="F74" s="68"/>
    </row>
    <row r="75" spans="1:36">
      <c r="A75" s="6"/>
      <c r="B75" s="13" t="s">
        <v>88</v>
      </c>
      <c r="C75" s="94" t="s">
        <v>167</v>
      </c>
      <c r="D75" s="95"/>
      <c r="E75" s="95"/>
      <c r="F75" s="95"/>
      <c r="G75" s="34">
        <f>SUM(G76:G76)</f>
        <v>0</v>
      </c>
      <c r="H75" s="34">
        <f>SUM(H76:H76)</f>
        <v>0</v>
      </c>
      <c r="I75" s="34">
        <f>G75+H75</f>
        <v>0</v>
      </c>
      <c r="J75" s="25"/>
      <c r="K75" s="34">
        <f>SUM(K76:K76)</f>
        <v>3.7920000000000002E-2</v>
      </c>
      <c r="L75" s="25"/>
      <c r="O75" s="34">
        <f>IF(P75="PR",I75,SUM(N76:N76))</f>
        <v>0</v>
      </c>
      <c r="P75" s="25" t="s">
        <v>238</v>
      </c>
      <c r="Q75" s="34">
        <f>IF(P75="HS",G75,0)</f>
        <v>0</v>
      </c>
      <c r="R75" s="34">
        <f>IF(P75="HS",H75-O75,0)</f>
        <v>0</v>
      </c>
      <c r="S75" s="34">
        <f>IF(P75="PS",G75,0)</f>
        <v>0</v>
      </c>
      <c r="T75" s="34">
        <f>IF(P75="PS",H75-O75,0)</f>
        <v>0</v>
      </c>
      <c r="U75" s="34">
        <f>IF(P75="MP",G75,0)</f>
        <v>0</v>
      </c>
      <c r="V75" s="34">
        <f>IF(P75="MP",H75-O75,0)</f>
        <v>0</v>
      </c>
      <c r="W75" s="34">
        <f>IF(P75="OM",G75,0)</f>
        <v>0</v>
      </c>
      <c r="X75" s="25"/>
      <c r="AH75" s="34">
        <f>SUM(Y76:Y76)</f>
        <v>0</v>
      </c>
      <c r="AI75" s="34">
        <f>SUM(Z76:Z76)</f>
        <v>0</v>
      </c>
      <c r="AJ75" s="34">
        <f>SUM(AA76:AA76)</f>
        <v>0</v>
      </c>
    </row>
    <row r="76" spans="1:36">
      <c r="A76" s="5" t="s">
        <v>33</v>
      </c>
      <c r="B76" s="5" t="s">
        <v>89</v>
      </c>
      <c r="C76" s="70" t="s">
        <v>168</v>
      </c>
      <c r="D76" s="70" t="s">
        <v>211</v>
      </c>
      <c r="E76" s="71">
        <v>24</v>
      </c>
      <c r="F76" s="83">
        <v>0</v>
      </c>
      <c r="G76" s="18">
        <f>ROUND(E76*AD76,2)</f>
        <v>0</v>
      </c>
      <c r="H76" s="18">
        <f>I76-G76</f>
        <v>0</v>
      </c>
      <c r="I76" s="18">
        <f>ROUND(E76*F76,2)</f>
        <v>0</v>
      </c>
      <c r="J76" s="18">
        <v>1.58E-3</v>
      </c>
      <c r="K76" s="18">
        <f>E76*J76</f>
        <v>3.7920000000000002E-2</v>
      </c>
      <c r="L76" s="29" t="s">
        <v>307</v>
      </c>
      <c r="M76" s="29" t="s">
        <v>6</v>
      </c>
      <c r="N76" s="18">
        <f>IF(M76="5",H76,0)</f>
        <v>0</v>
      </c>
      <c r="Y76" s="18">
        <f>IF(AC76=0,I76,0)</f>
        <v>0</v>
      </c>
      <c r="Z76" s="18">
        <f>IF(AC76=15,I76,0)</f>
        <v>0</v>
      </c>
      <c r="AA76" s="18">
        <f>IF(AC76=21,I76,0)</f>
        <v>0</v>
      </c>
      <c r="AC76" s="32">
        <v>21</v>
      </c>
      <c r="AD76" s="32">
        <f>F76*0.464975609756098</f>
        <v>0</v>
      </c>
      <c r="AE76" s="32">
        <f>F76*(1-0.464975609756098)</f>
        <v>0</v>
      </c>
    </row>
    <row r="77" spans="1:36">
      <c r="C77" s="67" t="s">
        <v>169</v>
      </c>
      <c r="D77" s="68"/>
      <c r="E77" s="69">
        <v>24</v>
      </c>
      <c r="F77" s="68"/>
    </row>
    <row r="78" spans="1:36">
      <c r="A78" s="6"/>
      <c r="B78" s="13" t="s">
        <v>90</v>
      </c>
      <c r="C78" s="94" t="s">
        <v>170</v>
      </c>
      <c r="D78" s="95"/>
      <c r="E78" s="95"/>
      <c r="F78" s="95"/>
      <c r="G78" s="34">
        <f>SUM(G79:G79)</f>
        <v>0</v>
      </c>
      <c r="H78" s="34">
        <f>SUM(H79:H79)</f>
        <v>0</v>
      </c>
      <c r="I78" s="34">
        <f>G78+H78</f>
        <v>0</v>
      </c>
      <c r="J78" s="25"/>
      <c r="K78" s="34">
        <f>SUM(K79:K79)</f>
        <v>1.3296000000000002E-3</v>
      </c>
      <c r="L78" s="25"/>
      <c r="O78" s="34">
        <f>IF(P78="PR",I78,SUM(N79:N79))</f>
        <v>0</v>
      </c>
      <c r="P78" s="25" t="s">
        <v>238</v>
      </c>
      <c r="Q78" s="34">
        <f>IF(P78="HS",G78,0)</f>
        <v>0</v>
      </c>
      <c r="R78" s="34">
        <f>IF(P78="HS",H78-O78,0)</f>
        <v>0</v>
      </c>
      <c r="S78" s="34">
        <f>IF(P78="PS",G78,0)</f>
        <v>0</v>
      </c>
      <c r="T78" s="34">
        <f>IF(P78="PS",H78-O78,0)</f>
        <v>0</v>
      </c>
      <c r="U78" s="34">
        <f>IF(P78="MP",G78,0)</f>
        <v>0</v>
      </c>
      <c r="V78" s="34">
        <f>IF(P78="MP",H78-O78,0)</f>
        <v>0</v>
      </c>
      <c r="W78" s="34">
        <f>IF(P78="OM",G78,0)</f>
        <v>0</v>
      </c>
      <c r="X78" s="25"/>
      <c r="AH78" s="34">
        <f>SUM(Y79:Y79)</f>
        <v>0</v>
      </c>
      <c r="AI78" s="34">
        <f>SUM(Z79:Z79)</f>
        <v>0</v>
      </c>
      <c r="AJ78" s="34">
        <f>SUM(AA79:AA79)</f>
        <v>0</v>
      </c>
    </row>
    <row r="79" spans="1:36">
      <c r="A79" s="5" t="s">
        <v>34</v>
      </c>
      <c r="B79" s="5" t="s">
        <v>91</v>
      </c>
      <c r="C79" s="70" t="s">
        <v>171</v>
      </c>
      <c r="D79" s="70" t="s">
        <v>211</v>
      </c>
      <c r="E79" s="71">
        <v>33.24</v>
      </c>
      <c r="F79" s="83">
        <v>0</v>
      </c>
      <c r="G79" s="18">
        <f>ROUND(E79*AD79,2)</f>
        <v>0</v>
      </c>
      <c r="H79" s="18">
        <f>I79-G79</f>
        <v>0</v>
      </c>
      <c r="I79" s="18">
        <f>ROUND(E79*F79,2)</f>
        <v>0</v>
      </c>
      <c r="J79" s="18">
        <v>4.0000000000000003E-5</v>
      </c>
      <c r="K79" s="18">
        <f>E79*J79</f>
        <v>1.3296000000000002E-3</v>
      </c>
      <c r="L79" s="29" t="s">
        <v>307</v>
      </c>
      <c r="M79" s="29" t="s">
        <v>6</v>
      </c>
      <c r="N79" s="18">
        <f>IF(M79="5",H79,0)</f>
        <v>0</v>
      </c>
      <c r="Y79" s="18">
        <f>IF(AC79=0,I79,0)</f>
        <v>0</v>
      </c>
      <c r="Z79" s="18">
        <f>IF(AC79=15,I79,0)</f>
        <v>0</v>
      </c>
      <c r="AA79" s="18">
        <f>IF(AC79=21,I79,0)</f>
        <v>0</v>
      </c>
      <c r="AC79" s="32">
        <v>21</v>
      </c>
      <c r="AD79" s="32">
        <f>F79*0.0177989130434783</f>
        <v>0</v>
      </c>
      <c r="AE79" s="32">
        <f>F79*(1-0.0177989130434783)</f>
        <v>0</v>
      </c>
    </row>
    <row r="80" spans="1:36">
      <c r="C80" s="67" t="s">
        <v>172</v>
      </c>
      <c r="D80" s="68"/>
      <c r="E80" s="69">
        <v>33.24</v>
      </c>
      <c r="F80" s="68"/>
    </row>
    <row r="81" spans="1:36">
      <c r="A81" s="6"/>
      <c r="B81" s="13" t="s">
        <v>92</v>
      </c>
      <c r="C81" s="94" t="s">
        <v>173</v>
      </c>
      <c r="D81" s="95"/>
      <c r="E81" s="95"/>
      <c r="F81" s="95"/>
      <c r="G81" s="34">
        <f>SUM(G82:G88)</f>
        <v>0</v>
      </c>
      <c r="H81" s="34">
        <f>SUM(H82:H88)</f>
        <v>0</v>
      </c>
      <c r="I81" s="34">
        <f>G81+H81</f>
        <v>0</v>
      </c>
      <c r="J81" s="25"/>
      <c r="K81" s="34">
        <f>SUM(K82:K88)</f>
        <v>1.7876699999999999</v>
      </c>
      <c r="L81" s="25"/>
      <c r="O81" s="34">
        <f>IF(P81="PR",I81,SUM(N82:N88))</f>
        <v>0</v>
      </c>
      <c r="P81" s="25" t="s">
        <v>238</v>
      </c>
      <c r="Q81" s="34">
        <f>IF(P81="HS",G81,0)</f>
        <v>0</v>
      </c>
      <c r="R81" s="34">
        <f>IF(P81="HS",H81-O81,0)</f>
        <v>0</v>
      </c>
      <c r="S81" s="34">
        <f>IF(P81="PS",G81,0)</f>
        <v>0</v>
      </c>
      <c r="T81" s="34">
        <f>IF(P81="PS",H81-O81,0)</f>
        <v>0</v>
      </c>
      <c r="U81" s="34">
        <f>IF(P81="MP",G81,0)</f>
        <v>0</v>
      </c>
      <c r="V81" s="34">
        <f>IF(P81="MP",H81-O81,0)</f>
        <v>0</v>
      </c>
      <c r="W81" s="34">
        <f>IF(P81="OM",G81,0)</f>
        <v>0</v>
      </c>
      <c r="X81" s="25"/>
      <c r="AH81" s="34">
        <f>SUM(Y82:Y88)</f>
        <v>0</v>
      </c>
      <c r="AI81" s="34">
        <f>SUM(Z82:Z88)</f>
        <v>0</v>
      </c>
      <c r="AJ81" s="34">
        <f>SUM(AA82:AA88)</f>
        <v>0</v>
      </c>
    </row>
    <row r="82" spans="1:36">
      <c r="A82" s="5" t="s">
        <v>35</v>
      </c>
      <c r="B82" s="5" t="s">
        <v>93</v>
      </c>
      <c r="C82" s="70" t="s">
        <v>174</v>
      </c>
      <c r="D82" s="70" t="s">
        <v>212</v>
      </c>
      <c r="E82" s="71">
        <v>0.17</v>
      </c>
      <c r="F82" s="83">
        <v>0</v>
      </c>
      <c r="G82" s="18">
        <f>ROUND(E82*AD82,2)</f>
        <v>0</v>
      </c>
      <c r="H82" s="18">
        <f>I82-G82</f>
        <v>0</v>
      </c>
      <c r="I82" s="18">
        <f>ROUND(E82*F82,2)</f>
        <v>0</v>
      </c>
      <c r="J82" s="18">
        <v>2.2000000000000002</v>
      </c>
      <c r="K82" s="18">
        <f>E82*J82</f>
        <v>0.37400000000000005</v>
      </c>
      <c r="L82" s="29" t="s">
        <v>307</v>
      </c>
      <c r="M82" s="29" t="s">
        <v>6</v>
      </c>
      <c r="N82" s="18">
        <f>IF(M82="5",H82,0)</f>
        <v>0</v>
      </c>
      <c r="Y82" s="18">
        <f>IF(AC82=0,I82,0)</f>
        <v>0</v>
      </c>
      <c r="Z82" s="18">
        <f>IF(AC82=15,I82,0)</f>
        <v>0</v>
      </c>
      <c r="AA82" s="18">
        <f>IF(AC82=21,I82,0)</f>
        <v>0</v>
      </c>
      <c r="AC82" s="32">
        <v>21</v>
      </c>
      <c r="AD82" s="32">
        <f>F82*0</f>
        <v>0</v>
      </c>
      <c r="AE82" s="32">
        <f>F82*(1-0)</f>
        <v>0</v>
      </c>
    </row>
    <row r="83" spans="1:36">
      <c r="C83" s="67" t="s">
        <v>175</v>
      </c>
      <c r="D83" s="68"/>
      <c r="E83" s="69">
        <v>0.17</v>
      </c>
      <c r="F83" s="68"/>
    </row>
    <row r="84" spans="1:36">
      <c r="A84" s="5" t="s">
        <v>36</v>
      </c>
      <c r="B84" s="5" t="s">
        <v>94</v>
      </c>
      <c r="C84" s="70" t="s">
        <v>176</v>
      </c>
      <c r="D84" s="70" t="s">
        <v>211</v>
      </c>
      <c r="E84" s="71">
        <v>2.16</v>
      </c>
      <c r="F84" s="83">
        <v>0</v>
      </c>
      <c r="G84" s="18">
        <f>ROUND(E84*AD84,2)</f>
        <v>0</v>
      </c>
      <c r="H84" s="18">
        <f>I84-G84</f>
        <v>0</v>
      </c>
      <c r="I84" s="18">
        <f>ROUND(E84*F84,2)</f>
        <v>0</v>
      </c>
      <c r="J84" s="18">
        <v>0.02</v>
      </c>
      <c r="K84" s="18">
        <f>E84*J84</f>
        <v>4.3200000000000002E-2</v>
      </c>
      <c r="L84" s="29" t="s">
        <v>307</v>
      </c>
      <c r="M84" s="29" t="s">
        <v>6</v>
      </c>
      <c r="N84" s="18">
        <f>IF(M84="5",H84,0)</f>
        <v>0</v>
      </c>
      <c r="Y84" s="18">
        <f>IF(AC84=0,I84,0)</f>
        <v>0</v>
      </c>
      <c r="Z84" s="18">
        <f>IF(AC84=15,I84,0)</f>
        <v>0</v>
      </c>
      <c r="AA84" s="18">
        <f>IF(AC84=21,I84,0)</f>
        <v>0</v>
      </c>
      <c r="AC84" s="32">
        <v>21</v>
      </c>
      <c r="AD84" s="32">
        <f>F84*0</f>
        <v>0</v>
      </c>
      <c r="AE84" s="32">
        <f>F84*(1-0)</f>
        <v>0</v>
      </c>
    </row>
    <row r="85" spans="1:36">
      <c r="C85" s="67" t="s">
        <v>177</v>
      </c>
      <c r="D85" s="68"/>
      <c r="E85" s="69">
        <v>2.16</v>
      </c>
      <c r="F85" s="68"/>
    </row>
    <row r="86" spans="1:36" ht="25.5">
      <c r="A86" s="5" t="s">
        <v>37</v>
      </c>
      <c r="B86" s="5" t="s">
        <v>95</v>
      </c>
      <c r="C86" s="70" t="s">
        <v>178</v>
      </c>
      <c r="D86" s="70" t="s">
        <v>215</v>
      </c>
      <c r="E86" s="71">
        <v>16</v>
      </c>
      <c r="F86" s="83">
        <v>0</v>
      </c>
      <c r="G86" s="18">
        <f>ROUND(E86*AD86,2)</f>
        <v>0</v>
      </c>
      <c r="H86" s="18">
        <f>I86-G86</f>
        <v>0</v>
      </c>
      <c r="I86" s="18">
        <f>ROUND(E86*F86,2)</f>
        <v>0</v>
      </c>
      <c r="J86" s="18">
        <v>0</v>
      </c>
      <c r="K86" s="18">
        <f>E86*J86</f>
        <v>0</v>
      </c>
      <c r="L86" s="29" t="s">
        <v>307</v>
      </c>
      <c r="M86" s="29" t="s">
        <v>6</v>
      </c>
      <c r="N86" s="18">
        <f>IF(M86="5",H86,0)</f>
        <v>0</v>
      </c>
      <c r="Y86" s="18">
        <f>IF(AC86=0,I86,0)</f>
        <v>0</v>
      </c>
      <c r="Z86" s="18">
        <f>IF(AC86=15,I86,0)</f>
        <v>0</v>
      </c>
      <c r="AA86" s="18">
        <f>IF(AC86=21,I86,0)</f>
        <v>0</v>
      </c>
      <c r="AC86" s="32">
        <v>21</v>
      </c>
      <c r="AD86" s="32">
        <f>F86*0</f>
        <v>0</v>
      </c>
      <c r="AE86" s="32">
        <f>F86*(1-0)</f>
        <v>0</v>
      </c>
    </row>
    <row r="87" spans="1:36">
      <c r="C87" s="67" t="s">
        <v>179</v>
      </c>
      <c r="D87" s="68"/>
      <c r="E87" s="69">
        <v>16</v>
      </c>
      <c r="F87" s="68"/>
    </row>
    <row r="88" spans="1:36">
      <c r="A88" s="5" t="s">
        <v>38</v>
      </c>
      <c r="B88" s="5" t="s">
        <v>96</v>
      </c>
      <c r="C88" s="70" t="s">
        <v>180</v>
      </c>
      <c r="D88" s="70" t="s">
        <v>211</v>
      </c>
      <c r="E88" s="71">
        <v>72.13</v>
      </c>
      <c r="F88" s="83">
        <v>0</v>
      </c>
      <c r="G88" s="18">
        <f>ROUND(E88*AD88,2)</f>
        <v>0</v>
      </c>
      <c r="H88" s="18">
        <f>I88-G88</f>
        <v>0</v>
      </c>
      <c r="I88" s="18">
        <f>ROUND(E88*F88,2)</f>
        <v>0</v>
      </c>
      <c r="J88" s="18">
        <v>1.9E-2</v>
      </c>
      <c r="K88" s="18">
        <f>E88*J88</f>
        <v>1.3704699999999999</v>
      </c>
      <c r="L88" s="29" t="s">
        <v>307</v>
      </c>
      <c r="M88" s="29" t="s">
        <v>6</v>
      </c>
      <c r="N88" s="18">
        <f>IF(M88="5",H88,0)</f>
        <v>0</v>
      </c>
      <c r="Y88" s="18">
        <f>IF(AC88=0,I88,0)</f>
        <v>0</v>
      </c>
      <c r="Z88" s="18">
        <f>IF(AC88=15,I88,0)</f>
        <v>0</v>
      </c>
      <c r="AA88" s="18">
        <f>IF(AC88=21,I88,0)</f>
        <v>0</v>
      </c>
      <c r="AC88" s="32">
        <v>21</v>
      </c>
      <c r="AD88" s="32">
        <f>F88*0.126199978427354</f>
        <v>0</v>
      </c>
      <c r="AE88" s="32">
        <f>F88*(1-0.126199978427354)</f>
        <v>0</v>
      </c>
    </row>
    <row r="89" spans="1:36">
      <c r="C89" s="67" t="s">
        <v>181</v>
      </c>
      <c r="D89" s="68"/>
      <c r="E89" s="69">
        <v>72.13</v>
      </c>
      <c r="F89" s="84"/>
    </row>
    <row r="90" spans="1:36">
      <c r="A90" s="6"/>
      <c r="B90" s="13" t="s">
        <v>97</v>
      </c>
      <c r="C90" s="94" t="s">
        <v>182</v>
      </c>
      <c r="D90" s="95"/>
      <c r="E90" s="95"/>
      <c r="F90" s="95"/>
      <c r="G90" s="34">
        <f>SUM(G91:G91)</f>
        <v>0</v>
      </c>
      <c r="H90" s="34">
        <f>SUM(H91:H91)</f>
        <v>0</v>
      </c>
      <c r="I90" s="34">
        <f>G90+H90</f>
        <v>0</v>
      </c>
      <c r="J90" s="25"/>
      <c r="K90" s="34">
        <f>SUM(K91:K91)</f>
        <v>0</v>
      </c>
      <c r="L90" s="25"/>
      <c r="O90" s="34">
        <f>IF(P90="PR",I90,SUM(N91:N91))</f>
        <v>0</v>
      </c>
      <c r="P90" s="25" t="s">
        <v>238</v>
      </c>
      <c r="Q90" s="34">
        <f>IF(P90="HS",G90,0)</f>
        <v>0</v>
      </c>
      <c r="R90" s="34">
        <f>IF(P90="HS",H90-O90,0)</f>
        <v>0</v>
      </c>
      <c r="S90" s="34">
        <f>IF(P90="PS",G90,0)</f>
        <v>0</v>
      </c>
      <c r="T90" s="34">
        <f>IF(P90="PS",H90-O90,0)</f>
        <v>0</v>
      </c>
      <c r="U90" s="34">
        <f>IF(P90="MP",G90,0)</f>
        <v>0</v>
      </c>
      <c r="V90" s="34">
        <f>IF(P90="MP",H90-O90,0)</f>
        <v>0</v>
      </c>
      <c r="W90" s="34">
        <f>IF(P90="OM",G90,0)</f>
        <v>0</v>
      </c>
      <c r="X90" s="25"/>
      <c r="AH90" s="34">
        <f>SUM(Y91:Y91)</f>
        <v>0</v>
      </c>
      <c r="AI90" s="34">
        <f>SUM(Z91:Z91)</f>
        <v>0</v>
      </c>
      <c r="AJ90" s="34">
        <f>SUM(AA91:AA91)</f>
        <v>0</v>
      </c>
    </row>
    <row r="91" spans="1:36">
      <c r="A91" s="5" t="s">
        <v>39</v>
      </c>
      <c r="B91" s="5" t="s">
        <v>98</v>
      </c>
      <c r="C91" s="70" t="s">
        <v>183</v>
      </c>
      <c r="D91" s="70" t="s">
        <v>210</v>
      </c>
      <c r="E91" s="71">
        <v>8.4</v>
      </c>
      <c r="F91" s="83">
        <v>0</v>
      </c>
      <c r="G91" s="18">
        <f>ROUND(E91*AD91,2)</f>
        <v>0</v>
      </c>
      <c r="H91" s="18">
        <f>I91-G91</f>
        <v>0</v>
      </c>
      <c r="I91" s="18">
        <f>ROUND(E91*F91,2)</f>
        <v>0</v>
      </c>
      <c r="J91" s="18">
        <v>0</v>
      </c>
      <c r="K91" s="18">
        <f>E91*J91</f>
        <v>0</v>
      </c>
      <c r="L91" s="29" t="s">
        <v>307</v>
      </c>
      <c r="M91" s="29" t="s">
        <v>6</v>
      </c>
      <c r="N91" s="18">
        <f>IF(M91="5",H91,0)</f>
        <v>0</v>
      </c>
      <c r="Y91" s="18">
        <f>IF(AC91=0,I91,0)</f>
        <v>0</v>
      </c>
      <c r="Z91" s="18">
        <f>IF(AC91=15,I91,0)</f>
        <v>0</v>
      </c>
      <c r="AA91" s="18">
        <f>IF(AC91=21,I91,0)</f>
        <v>0</v>
      </c>
      <c r="AC91" s="32">
        <v>21</v>
      </c>
      <c r="AD91" s="32">
        <f>F91*0.197219024401255</f>
        <v>0</v>
      </c>
      <c r="AE91" s="32">
        <f>F91*(1-0.197219024401255)</f>
        <v>0</v>
      </c>
    </row>
    <row r="92" spans="1:36">
      <c r="C92" s="67" t="s">
        <v>184</v>
      </c>
      <c r="D92" s="68"/>
      <c r="E92" s="69">
        <v>8.4</v>
      </c>
      <c r="F92" s="68"/>
    </row>
    <row r="93" spans="1:36">
      <c r="A93" s="6"/>
      <c r="B93" s="13" t="s">
        <v>99</v>
      </c>
      <c r="C93" s="94" t="s">
        <v>185</v>
      </c>
      <c r="D93" s="95"/>
      <c r="E93" s="95"/>
      <c r="F93" s="95"/>
      <c r="G93" s="34">
        <f>SUM(G94:G106)</f>
        <v>0</v>
      </c>
      <c r="H93" s="34">
        <f>SUM(H94:H106)</f>
        <v>0</v>
      </c>
      <c r="I93" s="34">
        <f>G93+H93</f>
        <v>0</v>
      </c>
      <c r="J93" s="25"/>
      <c r="K93" s="34">
        <f>SUM(K94:K106)</f>
        <v>4.0470000000000006E-2</v>
      </c>
      <c r="L93" s="25"/>
      <c r="O93" s="34">
        <f>IF(P93="PR",I93,SUM(N94:N106))</f>
        <v>0</v>
      </c>
      <c r="P93" s="25" t="s">
        <v>240</v>
      </c>
      <c r="Q93" s="34">
        <f>IF(P93="HS",G93,0)</f>
        <v>0</v>
      </c>
      <c r="R93" s="34">
        <f>IF(P93="HS",H93-O93,0)</f>
        <v>0</v>
      </c>
      <c r="S93" s="34">
        <f>IF(P93="PS",G93,0)</f>
        <v>0</v>
      </c>
      <c r="T93" s="34">
        <f>IF(P93="PS",H93-O93,0)</f>
        <v>0</v>
      </c>
      <c r="U93" s="34">
        <f>IF(P93="MP",G93,0)</f>
        <v>0</v>
      </c>
      <c r="V93" s="34">
        <f>IF(P93="MP",H93-O93,0)</f>
        <v>0</v>
      </c>
      <c r="W93" s="34">
        <f>IF(P93="OM",G93,0)</f>
        <v>0</v>
      </c>
      <c r="X93" s="25"/>
      <c r="AH93" s="34">
        <f>SUM(Y94:Y106)</f>
        <v>0</v>
      </c>
      <c r="AI93" s="34">
        <f>SUM(Z94:Z106)</f>
        <v>0</v>
      </c>
      <c r="AJ93" s="34">
        <f>SUM(AA94:AA106)</f>
        <v>0</v>
      </c>
    </row>
    <row r="94" spans="1:36">
      <c r="A94" s="5" t="s">
        <v>40</v>
      </c>
      <c r="B94" s="5" t="s">
        <v>100</v>
      </c>
      <c r="C94" s="70" t="s">
        <v>186</v>
      </c>
      <c r="D94" s="70" t="s">
        <v>210</v>
      </c>
      <c r="E94" s="71">
        <v>161</v>
      </c>
      <c r="F94" s="83">
        <v>0</v>
      </c>
      <c r="G94" s="18">
        <f>ROUND(E94*AD94,2)</f>
        <v>0</v>
      </c>
      <c r="H94" s="18">
        <f>I94-G94</f>
        <v>0</v>
      </c>
      <c r="I94" s="18">
        <f>ROUND(E94*F94,2)</f>
        <v>0</v>
      </c>
      <c r="J94" s="18">
        <v>0</v>
      </c>
      <c r="K94" s="18">
        <f>E94*J94</f>
        <v>0</v>
      </c>
      <c r="L94" s="29" t="s">
        <v>307</v>
      </c>
      <c r="M94" s="29" t="s">
        <v>7</v>
      </c>
      <c r="N94" s="18">
        <f>IF(M94="5",H94,0)</f>
        <v>0</v>
      </c>
      <c r="Y94" s="18">
        <f>IF(AC94=0,I94,0)</f>
        <v>0</v>
      </c>
      <c r="Z94" s="18">
        <f>IF(AC94=15,I94,0)</f>
        <v>0</v>
      </c>
      <c r="AA94" s="18">
        <f>IF(AC94=21,I94,0)</f>
        <v>0</v>
      </c>
      <c r="AC94" s="32">
        <v>21</v>
      </c>
      <c r="AD94" s="32">
        <f>F94*0</f>
        <v>0</v>
      </c>
      <c r="AE94" s="32">
        <f>F94*(1-0)</f>
        <v>0</v>
      </c>
    </row>
    <row r="95" spans="1:36" ht="25.5">
      <c r="C95" s="67" t="s">
        <v>187</v>
      </c>
      <c r="D95" s="68"/>
      <c r="E95" s="69">
        <v>161</v>
      </c>
      <c r="F95" s="81"/>
    </row>
    <row r="96" spans="1:36" ht="25.5">
      <c r="A96" s="5" t="s">
        <v>41</v>
      </c>
      <c r="B96" s="5" t="s">
        <v>101</v>
      </c>
      <c r="C96" s="70" t="s">
        <v>188</v>
      </c>
      <c r="D96" s="70" t="s">
        <v>215</v>
      </c>
      <c r="E96" s="71">
        <v>1</v>
      </c>
      <c r="F96" s="83">
        <v>0</v>
      </c>
      <c r="G96" s="18">
        <f>ROUND(E96*AD96,2)</f>
        <v>0</v>
      </c>
      <c r="H96" s="18">
        <f>I96-G96</f>
        <v>0</v>
      </c>
      <c r="I96" s="18">
        <f>ROUND(E96*F96,2)</f>
        <v>0</v>
      </c>
      <c r="J96" s="18">
        <v>0</v>
      </c>
      <c r="K96" s="18">
        <f>E96*J96</f>
        <v>0</v>
      </c>
      <c r="L96" s="29" t="s">
        <v>307</v>
      </c>
      <c r="M96" s="29" t="s">
        <v>7</v>
      </c>
      <c r="N96" s="18">
        <f>IF(M96="5",H96,0)</f>
        <v>0</v>
      </c>
      <c r="Y96" s="18">
        <f>IF(AC96=0,I96,0)</f>
        <v>0</v>
      </c>
      <c r="Z96" s="18">
        <f>IF(AC96=15,I96,0)</f>
        <v>0</v>
      </c>
      <c r="AA96" s="18">
        <f>IF(AC96=21,I96,0)</f>
        <v>0</v>
      </c>
      <c r="AC96" s="32">
        <v>21</v>
      </c>
      <c r="AD96" s="32">
        <f>F96*0</f>
        <v>0</v>
      </c>
      <c r="AE96" s="32">
        <f>F96*(1-0)</f>
        <v>0</v>
      </c>
    </row>
    <row r="97" spans="1:36">
      <c r="C97" s="67" t="s">
        <v>189</v>
      </c>
      <c r="D97" s="68"/>
      <c r="E97" s="69">
        <v>1</v>
      </c>
      <c r="F97" s="68"/>
    </row>
    <row r="98" spans="1:36">
      <c r="A98" s="5" t="s">
        <v>42</v>
      </c>
      <c r="B98" s="5" t="s">
        <v>102</v>
      </c>
      <c r="C98" s="70" t="s">
        <v>190</v>
      </c>
      <c r="D98" s="70" t="s">
        <v>210</v>
      </c>
      <c r="E98" s="71">
        <v>161</v>
      </c>
      <c r="F98" s="83">
        <v>0</v>
      </c>
      <c r="G98" s="18">
        <f>ROUND(E98*AD98,2)</f>
        <v>0</v>
      </c>
      <c r="H98" s="18">
        <f>I98-G98</f>
        <v>0</v>
      </c>
      <c r="I98" s="18">
        <f>ROUND(E98*F98,2)</f>
        <v>0</v>
      </c>
      <c r="J98" s="18">
        <v>1.7000000000000001E-4</v>
      </c>
      <c r="K98" s="18">
        <f>E98*J98</f>
        <v>2.7370000000000002E-2</v>
      </c>
      <c r="L98" s="29" t="s">
        <v>307</v>
      </c>
      <c r="M98" s="29" t="s">
        <v>7</v>
      </c>
      <c r="N98" s="18">
        <f>IF(M98="5",H98,0)</f>
        <v>0</v>
      </c>
      <c r="Y98" s="18">
        <f>IF(AC98=0,I98,0)</f>
        <v>0</v>
      </c>
      <c r="Z98" s="18">
        <f>IF(AC98=15,I98,0)</f>
        <v>0</v>
      </c>
      <c r="AA98" s="18">
        <f>IF(AC98=21,I98,0)</f>
        <v>0</v>
      </c>
      <c r="AC98" s="32">
        <v>21</v>
      </c>
      <c r="AD98" s="32">
        <f>F98*0.350660297836471</f>
        <v>0</v>
      </c>
      <c r="AE98" s="32">
        <f>F98*(1-0.350660297836471)</f>
        <v>0</v>
      </c>
    </row>
    <row r="99" spans="1:36" ht="25.5">
      <c r="C99" s="67" t="s">
        <v>187</v>
      </c>
      <c r="D99" s="68"/>
      <c r="E99" s="69">
        <v>161</v>
      </c>
      <c r="F99" s="68"/>
    </row>
    <row r="100" spans="1:36" ht="25.5">
      <c r="A100" s="4" t="s">
        <v>43</v>
      </c>
      <c r="B100" s="4" t="s">
        <v>103</v>
      </c>
      <c r="C100" s="65" t="s">
        <v>191</v>
      </c>
      <c r="D100" s="65" t="s">
        <v>215</v>
      </c>
      <c r="E100" s="66">
        <v>1</v>
      </c>
      <c r="F100" s="82">
        <v>0</v>
      </c>
      <c r="G100" s="17">
        <f>ROUND(E100*AD100,2)</f>
        <v>0</v>
      </c>
      <c r="H100" s="17">
        <f>I100-G100</f>
        <v>0</v>
      </c>
      <c r="I100" s="17">
        <f>ROUND(E100*F100,2)</f>
        <v>0</v>
      </c>
      <c r="J100" s="17">
        <v>1.2500000000000001E-2</v>
      </c>
      <c r="K100" s="17">
        <f>E100*J100</f>
        <v>1.2500000000000001E-2</v>
      </c>
      <c r="L100" s="28" t="s">
        <v>307</v>
      </c>
      <c r="M100" s="28" t="s">
        <v>235</v>
      </c>
      <c r="N100" s="17">
        <f>IF(M100="5",H100,0)</f>
        <v>0</v>
      </c>
      <c r="Y100" s="17">
        <f>IF(AC100=0,I100,0)</f>
        <v>0</v>
      </c>
      <c r="Z100" s="17">
        <f>IF(AC100=15,I100,0)</f>
        <v>0</v>
      </c>
      <c r="AA100" s="17">
        <f>IF(AC100=21,I100,0)</f>
        <v>0</v>
      </c>
      <c r="AC100" s="32">
        <v>21</v>
      </c>
      <c r="AD100" s="32">
        <f>F100*1</f>
        <v>0</v>
      </c>
      <c r="AE100" s="32">
        <f>F100*(1-1)</f>
        <v>0</v>
      </c>
    </row>
    <row r="101" spans="1:36">
      <c r="C101" s="67" t="s">
        <v>192</v>
      </c>
      <c r="D101" s="68"/>
      <c r="E101" s="69">
        <v>1</v>
      </c>
      <c r="F101" s="68"/>
    </row>
    <row r="102" spans="1:36" ht="25.5">
      <c r="A102" s="4" t="s">
        <v>44</v>
      </c>
      <c r="B102" s="4" t="s">
        <v>104</v>
      </c>
      <c r="C102" s="65" t="s">
        <v>193</v>
      </c>
      <c r="D102" s="65" t="s">
        <v>215</v>
      </c>
      <c r="E102" s="66">
        <v>4</v>
      </c>
      <c r="F102" s="82">
        <v>0</v>
      </c>
      <c r="G102" s="17">
        <f>ROUND(E102*AD102,2)</f>
        <v>0</v>
      </c>
      <c r="H102" s="17">
        <f>I102-G102</f>
        <v>0</v>
      </c>
      <c r="I102" s="17">
        <f>ROUND(E102*F102,2)</f>
        <v>0</v>
      </c>
      <c r="J102" s="17">
        <v>1.4999999999999999E-4</v>
      </c>
      <c r="K102" s="17">
        <f>E102*J102</f>
        <v>5.9999999999999995E-4</v>
      </c>
      <c r="L102" s="28" t="s">
        <v>307</v>
      </c>
      <c r="M102" s="28" t="s">
        <v>235</v>
      </c>
      <c r="N102" s="17">
        <f>IF(M102="5",H102,0)</f>
        <v>0</v>
      </c>
      <c r="Y102" s="17">
        <f>IF(AC102=0,I102,0)</f>
        <v>0</v>
      </c>
      <c r="Z102" s="17">
        <f>IF(AC102=15,I102,0)</f>
        <v>0</v>
      </c>
      <c r="AA102" s="17">
        <f>IF(AC102=21,I102,0)</f>
        <v>0</v>
      </c>
      <c r="AC102" s="32">
        <v>21</v>
      </c>
      <c r="AD102" s="32">
        <f>F102*1</f>
        <v>0</v>
      </c>
      <c r="AE102" s="32">
        <f>F102*(1-1)</f>
        <v>0</v>
      </c>
    </row>
    <row r="103" spans="1:36">
      <c r="C103" s="67" t="s">
        <v>194</v>
      </c>
      <c r="D103" s="68"/>
      <c r="E103" s="69">
        <v>4</v>
      </c>
      <c r="F103" s="68"/>
    </row>
    <row r="104" spans="1:36">
      <c r="A104" s="5" t="s">
        <v>45</v>
      </c>
      <c r="B104" s="5" t="s">
        <v>105</v>
      </c>
      <c r="C104" s="70" t="s">
        <v>195</v>
      </c>
      <c r="D104" s="70" t="s">
        <v>216</v>
      </c>
      <c r="E104" s="71">
        <v>6</v>
      </c>
      <c r="F104" s="83">
        <v>0</v>
      </c>
      <c r="G104" s="18">
        <f>ROUND(E104*AD104,2)</f>
        <v>0</v>
      </c>
      <c r="H104" s="18">
        <f>I104-G104</f>
        <v>0</v>
      </c>
      <c r="I104" s="18">
        <f>ROUND(E104*F104,2)</f>
        <v>0</v>
      </c>
      <c r="J104" s="18">
        <v>0</v>
      </c>
      <c r="K104" s="18">
        <f>E104*J104</f>
        <v>0</v>
      </c>
      <c r="L104" s="29" t="s">
        <v>307</v>
      </c>
      <c r="M104" s="29" t="s">
        <v>6</v>
      </c>
      <c r="N104" s="18">
        <f>IF(M104="5",H104,0)</f>
        <v>0</v>
      </c>
      <c r="Y104" s="18">
        <f>IF(AC104=0,I104,0)</f>
        <v>0</v>
      </c>
      <c r="Z104" s="18">
        <f>IF(AC104=15,I104,0)</f>
        <v>0</v>
      </c>
      <c r="AA104" s="18">
        <f>IF(AC104=21,I104,0)</f>
        <v>0</v>
      </c>
      <c r="AC104" s="32">
        <v>21</v>
      </c>
      <c r="AD104" s="32">
        <f>F104*0</f>
        <v>0</v>
      </c>
      <c r="AE104" s="32">
        <f>F104*(1-0)</f>
        <v>0</v>
      </c>
    </row>
    <row r="105" spans="1:36">
      <c r="C105" s="67" t="s">
        <v>196</v>
      </c>
      <c r="D105" s="68"/>
      <c r="E105" s="69">
        <v>6</v>
      </c>
      <c r="F105" s="68"/>
    </row>
    <row r="106" spans="1:36">
      <c r="A106" s="5" t="s">
        <v>46</v>
      </c>
      <c r="B106" s="5" t="s">
        <v>105</v>
      </c>
      <c r="C106" s="70" t="s">
        <v>197</v>
      </c>
      <c r="D106" s="70" t="s">
        <v>216</v>
      </c>
      <c r="E106" s="71">
        <v>12</v>
      </c>
      <c r="F106" s="83">
        <v>0</v>
      </c>
      <c r="G106" s="18">
        <f>ROUND(E106*AD106,2)</f>
        <v>0</v>
      </c>
      <c r="H106" s="18">
        <f>I106-G106</f>
        <v>0</v>
      </c>
      <c r="I106" s="18">
        <f>ROUND(E106*F106,2)</f>
        <v>0</v>
      </c>
      <c r="J106" s="18">
        <v>0</v>
      </c>
      <c r="K106" s="18">
        <f>E106*J106</f>
        <v>0</v>
      </c>
      <c r="L106" s="29" t="s">
        <v>307</v>
      </c>
      <c r="M106" s="29" t="s">
        <v>6</v>
      </c>
      <c r="N106" s="18">
        <f>IF(M106="5",H106,0)</f>
        <v>0</v>
      </c>
      <c r="Y106" s="18">
        <f>IF(AC106=0,I106,0)</f>
        <v>0</v>
      </c>
      <c r="Z106" s="18">
        <f>IF(AC106=15,I106,0)</f>
        <v>0</v>
      </c>
      <c r="AA106" s="18">
        <f>IF(AC106=21,I106,0)</f>
        <v>0</v>
      </c>
      <c r="AC106" s="32">
        <v>21</v>
      </c>
      <c r="AD106" s="32">
        <f>F106*0</f>
        <v>0</v>
      </c>
      <c r="AE106" s="32">
        <f>F106*(1-0)</f>
        <v>0</v>
      </c>
    </row>
    <row r="107" spans="1:36" ht="25.5">
      <c r="C107" s="67" t="s">
        <v>198</v>
      </c>
      <c r="D107" s="68"/>
      <c r="E107" s="69">
        <v>12</v>
      </c>
      <c r="F107" s="68"/>
    </row>
    <row r="108" spans="1:36">
      <c r="A108" s="6"/>
      <c r="B108" s="13" t="s">
        <v>106</v>
      </c>
      <c r="C108" s="94" t="s">
        <v>199</v>
      </c>
      <c r="D108" s="95"/>
      <c r="E108" s="95"/>
      <c r="F108" s="95"/>
      <c r="G108" s="34">
        <f>SUM(G109:G116)</f>
        <v>0</v>
      </c>
      <c r="H108" s="34">
        <f>SUM(H109:H116)</f>
        <v>0</v>
      </c>
      <c r="I108" s="34">
        <f>G108+H108</f>
        <v>0</v>
      </c>
      <c r="J108" s="25"/>
      <c r="K108" s="34">
        <f>SUM(K109:K116)</f>
        <v>0</v>
      </c>
      <c r="L108" s="25"/>
      <c r="O108" s="34">
        <f>IF(P108="PR",I108,SUM(N109:N116))</f>
        <v>0</v>
      </c>
      <c r="P108" s="25" t="s">
        <v>241</v>
      </c>
      <c r="Q108" s="34">
        <f>IF(P108="HS",G108,0)</f>
        <v>0</v>
      </c>
      <c r="R108" s="34">
        <f>IF(P108="HS",H108-O108,0)</f>
        <v>0</v>
      </c>
      <c r="S108" s="34">
        <f>IF(P108="PS",G108,0)</f>
        <v>0</v>
      </c>
      <c r="T108" s="34">
        <f>IF(P108="PS",H108-O108,0)</f>
        <v>0</v>
      </c>
      <c r="U108" s="34">
        <f>IF(P108="MP",G108,0)</f>
        <v>0</v>
      </c>
      <c r="V108" s="34">
        <f>IF(P108="MP",H108-O108,0)</f>
        <v>0</v>
      </c>
      <c r="W108" s="34">
        <f>IF(P108="OM",G108,0)</f>
        <v>0</v>
      </c>
      <c r="X108" s="25"/>
      <c r="AH108" s="34">
        <f>SUM(Y109:Y116)</f>
        <v>0</v>
      </c>
      <c r="AI108" s="34">
        <f>SUM(Z109:Z116)</f>
        <v>0</v>
      </c>
      <c r="AJ108" s="34">
        <f>SUM(AA109:AA116)</f>
        <v>0</v>
      </c>
    </row>
    <row r="109" spans="1:36">
      <c r="A109" s="5" t="s">
        <v>47</v>
      </c>
      <c r="B109" s="5" t="s">
        <v>107</v>
      </c>
      <c r="C109" s="70" t="s">
        <v>200</v>
      </c>
      <c r="D109" s="70" t="s">
        <v>213</v>
      </c>
      <c r="E109" s="71">
        <v>1.79</v>
      </c>
      <c r="F109" s="83">
        <v>0</v>
      </c>
      <c r="G109" s="18">
        <f>ROUND(E109*AD109,2)</f>
        <v>0</v>
      </c>
      <c r="H109" s="18">
        <f>I109-G109</f>
        <v>0</v>
      </c>
      <c r="I109" s="18">
        <f>ROUND(E109*F109,2)</f>
        <v>0</v>
      </c>
      <c r="J109" s="18">
        <v>0</v>
      </c>
      <c r="K109" s="18">
        <f>E109*J109</f>
        <v>0</v>
      </c>
      <c r="L109" s="29" t="s">
        <v>307</v>
      </c>
      <c r="M109" s="29" t="s">
        <v>10</v>
      </c>
      <c r="N109" s="18">
        <f>IF(M109="5",H109,0)</f>
        <v>0</v>
      </c>
      <c r="Y109" s="18">
        <f>IF(AC109=0,I109,0)</f>
        <v>0</v>
      </c>
      <c r="Z109" s="18">
        <f>IF(AC109=15,I109,0)</f>
        <v>0</v>
      </c>
      <c r="AA109" s="18">
        <f>IF(AC109=21,I109,0)</f>
        <v>0</v>
      </c>
      <c r="AC109" s="32">
        <v>21</v>
      </c>
      <c r="AD109" s="32">
        <f>F109*0</f>
        <v>0</v>
      </c>
      <c r="AE109" s="32">
        <f>F109*(1-0)</f>
        <v>0</v>
      </c>
    </row>
    <row r="110" spans="1:36">
      <c r="C110" s="67" t="s">
        <v>201</v>
      </c>
      <c r="D110" s="68"/>
      <c r="E110" s="69">
        <v>1.79</v>
      </c>
      <c r="F110" s="68"/>
    </row>
    <row r="111" spans="1:36">
      <c r="A111" s="5" t="s">
        <v>48</v>
      </c>
      <c r="B111" s="5" t="s">
        <v>108</v>
      </c>
      <c r="C111" s="70" t="s">
        <v>202</v>
      </c>
      <c r="D111" s="70" t="s">
        <v>213</v>
      </c>
      <c r="E111" s="71">
        <v>1.79</v>
      </c>
      <c r="F111" s="83">
        <v>0</v>
      </c>
      <c r="G111" s="18">
        <f>ROUND(E111*AD111,2)</f>
        <v>0</v>
      </c>
      <c r="H111" s="18">
        <f>I111-G111</f>
        <v>0</v>
      </c>
      <c r="I111" s="18">
        <f>ROUND(E111*F111,2)</f>
        <v>0</v>
      </c>
      <c r="J111" s="18">
        <v>0</v>
      </c>
      <c r="K111" s="18">
        <f>E111*J111</f>
        <v>0</v>
      </c>
      <c r="L111" s="29" t="s">
        <v>307</v>
      </c>
      <c r="M111" s="29" t="s">
        <v>10</v>
      </c>
      <c r="N111" s="18">
        <f>IF(M111="5",H111,0)</f>
        <v>0</v>
      </c>
      <c r="Y111" s="18">
        <f>IF(AC111=0,I111,0)</f>
        <v>0</v>
      </c>
      <c r="Z111" s="18">
        <f>IF(AC111=15,I111,0)</f>
        <v>0</v>
      </c>
      <c r="AA111" s="18">
        <f>IF(AC111=21,I111,0)</f>
        <v>0</v>
      </c>
      <c r="AC111" s="32">
        <v>21</v>
      </c>
      <c r="AD111" s="32">
        <f>F111*0.00942152480787164</f>
        <v>0</v>
      </c>
      <c r="AE111" s="32">
        <f>F111*(1-0.00942152480787164)</f>
        <v>0</v>
      </c>
    </row>
    <row r="112" spans="1:36">
      <c r="C112" s="67" t="s">
        <v>201</v>
      </c>
      <c r="D112" s="68"/>
      <c r="E112" s="69">
        <v>1.79</v>
      </c>
      <c r="F112" s="68"/>
    </row>
    <row r="113" spans="1:31">
      <c r="C113" s="67"/>
      <c r="D113" s="68"/>
      <c r="E113" s="69">
        <v>0</v>
      </c>
      <c r="F113" s="68"/>
    </row>
    <row r="114" spans="1:31">
      <c r="A114" s="5" t="s">
        <v>49</v>
      </c>
      <c r="B114" s="5" t="s">
        <v>109</v>
      </c>
      <c r="C114" s="70" t="s">
        <v>203</v>
      </c>
      <c r="D114" s="70" t="s">
        <v>213</v>
      </c>
      <c r="E114" s="71">
        <v>1.79</v>
      </c>
      <c r="F114" s="83">
        <v>0</v>
      </c>
      <c r="G114" s="18">
        <f>ROUND(E114*AD114,2)</f>
        <v>0</v>
      </c>
      <c r="H114" s="18">
        <f>I114-G114</f>
        <v>0</v>
      </c>
      <c r="I114" s="18">
        <f>ROUND(E114*F114,2)</f>
        <v>0</v>
      </c>
      <c r="J114" s="18">
        <v>0</v>
      </c>
      <c r="K114" s="18">
        <f>E114*J114</f>
        <v>0</v>
      </c>
      <c r="L114" s="29" t="s">
        <v>307</v>
      </c>
      <c r="M114" s="29" t="s">
        <v>10</v>
      </c>
      <c r="N114" s="18">
        <f>IF(M114="5",H114,0)</f>
        <v>0</v>
      </c>
      <c r="Y114" s="18">
        <f>IF(AC114=0,I114,0)</f>
        <v>0</v>
      </c>
      <c r="Z114" s="18">
        <f>IF(AC114=15,I114,0)</f>
        <v>0</v>
      </c>
      <c r="AA114" s="18">
        <f>IF(AC114=21,I114,0)</f>
        <v>0</v>
      </c>
      <c r="AC114" s="32">
        <v>21</v>
      </c>
      <c r="AD114" s="32">
        <f>F114*0</f>
        <v>0</v>
      </c>
      <c r="AE114" s="32">
        <f>F114*(1-0)</f>
        <v>0</v>
      </c>
    </row>
    <row r="115" spans="1:31">
      <c r="C115" s="67" t="s">
        <v>201</v>
      </c>
      <c r="D115" s="68"/>
      <c r="E115" s="69">
        <v>1.79</v>
      </c>
      <c r="F115" s="84"/>
    </row>
    <row r="116" spans="1:31" ht="38.25">
      <c r="A116" s="4" t="s">
        <v>50</v>
      </c>
      <c r="B116" s="4" t="s">
        <v>110</v>
      </c>
      <c r="C116" s="65" t="s">
        <v>204</v>
      </c>
      <c r="D116" s="65" t="s">
        <v>217</v>
      </c>
      <c r="E116" s="66">
        <v>1.79</v>
      </c>
      <c r="F116" s="82">
        <v>0</v>
      </c>
      <c r="G116" s="17">
        <f>ROUND(E116*AD116,2)</f>
        <v>0</v>
      </c>
      <c r="H116" s="17">
        <f>I116-G116</f>
        <v>0</v>
      </c>
      <c r="I116" s="17">
        <f>ROUND(E116*F116,2)</f>
        <v>0</v>
      </c>
      <c r="J116" s="17">
        <v>0</v>
      </c>
      <c r="K116" s="17">
        <f>E116*J116</f>
        <v>0</v>
      </c>
      <c r="L116" s="28"/>
      <c r="M116" s="28" t="s">
        <v>235</v>
      </c>
      <c r="N116" s="17">
        <f>IF(M116="5",H116,0)</f>
        <v>0</v>
      </c>
      <c r="Y116" s="17">
        <f>IF(AC116=0,I116,0)</f>
        <v>0</v>
      </c>
      <c r="Z116" s="17">
        <f>IF(AC116=15,I116,0)</f>
        <v>0</v>
      </c>
      <c r="AA116" s="17">
        <f>IF(AC116=21,I116,0)</f>
        <v>0</v>
      </c>
      <c r="AC116" s="32">
        <v>21</v>
      </c>
      <c r="AD116" s="32">
        <f>F116*1</f>
        <v>0</v>
      </c>
      <c r="AE116" s="32">
        <f>F116*(1-1)</f>
        <v>0</v>
      </c>
    </row>
    <row r="117" spans="1:31">
      <c r="A117" s="7"/>
      <c r="B117" s="7"/>
      <c r="C117" s="72" t="s">
        <v>201</v>
      </c>
      <c r="D117" s="73"/>
      <c r="E117" s="74">
        <v>1.79</v>
      </c>
      <c r="F117" s="73"/>
      <c r="G117" s="7"/>
      <c r="H117" s="7"/>
      <c r="I117" s="7"/>
      <c r="J117" s="7"/>
      <c r="K117" s="7"/>
      <c r="L117" s="7"/>
    </row>
    <row r="118" spans="1:31">
      <c r="A118" s="8"/>
      <c r="B118" s="8"/>
      <c r="C118" s="8"/>
      <c r="D118" s="8"/>
      <c r="E118" s="8"/>
      <c r="F118" s="8"/>
      <c r="G118" s="96" t="s">
        <v>223</v>
      </c>
      <c r="H118" s="97"/>
      <c r="I118" s="35">
        <f>I12+I26+I29+I33+I44+I54+I67+I70+I75+I78+I81+I90+I93+I108</f>
        <v>0</v>
      </c>
      <c r="J118" s="8"/>
      <c r="K118" s="8"/>
      <c r="L118" s="8"/>
      <c r="Y118" s="36">
        <f>SUM(Y13:Y117)</f>
        <v>0</v>
      </c>
      <c r="Z118" s="36">
        <f>SUM(Z13:Z117)</f>
        <v>0</v>
      </c>
      <c r="AA118" s="36">
        <f>SUM(AA13:AA117)</f>
        <v>0</v>
      </c>
    </row>
    <row r="119" spans="1:31" ht="11.25" customHeight="1">
      <c r="A119" s="9" t="s">
        <v>51</v>
      </c>
    </row>
    <row r="120" spans="1:31" ht="409.6" hidden="1" customHeight="1">
      <c r="A120" s="92"/>
      <c r="B120" s="93"/>
      <c r="C120" s="93"/>
      <c r="D120" s="93"/>
      <c r="E120" s="93"/>
      <c r="F120" s="93"/>
      <c r="G120" s="93"/>
      <c r="H120" s="93"/>
      <c r="I120" s="93"/>
      <c r="J120" s="93"/>
      <c r="K120" s="93"/>
      <c r="L120" s="93"/>
    </row>
  </sheetData>
  <sheetProtection password="CF40" sheet="1" objects="1" scenarios="1"/>
  <mergeCells count="43">
    <mergeCell ref="A6:B7"/>
    <mergeCell ref="C6:C7"/>
    <mergeCell ref="I4:L5"/>
    <mergeCell ref="A1:L1"/>
    <mergeCell ref="A2:B3"/>
    <mergeCell ref="C2:C3"/>
    <mergeCell ref="D2:E3"/>
    <mergeCell ref="F2:G3"/>
    <mergeCell ref="H2:H3"/>
    <mergeCell ref="I2:L3"/>
    <mergeCell ref="A4:B5"/>
    <mergeCell ref="C4:C5"/>
    <mergeCell ref="D4:E5"/>
    <mergeCell ref="F4:G5"/>
    <mergeCell ref="H4:H5"/>
    <mergeCell ref="D6:E7"/>
    <mergeCell ref="F6:G7"/>
    <mergeCell ref="H6:H7"/>
    <mergeCell ref="C33:F33"/>
    <mergeCell ref="A8:B9"/>
    <mergeCell ref="C8:C9"/>
    <mergeCell ref="D8:E9"/>
    <mergeCell ref="F8:G9"/>
    <mergeCell ref="G10:I10"/>
    <mergeCell ref="H8:H9"/>
    <mergeCell ref="I8:L9"/>
    <mergeCell ref="J10:K10"/>
    <mergeCell ref="C12:F12"/>
    <mergeCell ref="C26:F26"/>
    <mergeCell ref="C29:F29"/>
    <mergeCell ref="I6:L7"/>
    <mergeCell ref="A120:L120"/>
    <mergeCell ref="C44:F44"/>
    <mergeCell ref="C54:F54"/>
    <mergeCell ref="C67:F67"/>
    <mergeCell ref="C70:F70"/>
    <mergeCell ref="C75:F75"/>
    <mergeCell ref="C78:F78"/>
    <mergeCell ref="C81:F81"/>
    <mergeCell ref="C90:F90"/>
    <mergeCell ref="C93:F93"/>
    <mergeCell ref="C108:F108"/>
    <mergeCell ref="G118:H118"/>
  </mergeCells>
  <pageMargins left="0.39400000000000002" right="0.17" top="0.59099999999999997" bottom="0.48" header="0.5" footer="0.37"/>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26"/>
  <sheetViews>
    <sheetView workbookViewId="0">
      <selection activeCell="D11" sqref="D11:E11"/>
    </sheetView>
  </sheetViews>
  <sheetFormatPr defaultColWidth="11.5703125" defaultRowHeight="12.75"/>
  <cols>
    <col min="1" max="2" width="16.5703125" customWidth="1"/>
    <col min="3" max="3" width="41.7109375" customWidth="1"/>
    <col min="4" max="4" width="12.28515625" customWidth="1"/>
    <col min="5" max="5" width="12.5703125" customWidth="1"/>
    <col min="6" max="6" width="12.42578125" customWidth="1"/>
    <col min="7" max="7" width="11.5703125" customWidth="1"/>
    <col min="8" max="9" width="12.140625" hidden="1" customWidth="1"/>
  </cols>
  <sheetData>
    <row r="1" spans="1:9" ht="21.95" customHeight="1">
      <c r="A1" s="110" t="s">
        <v>317</v>
      </c>
      <c r="B1" s="111"/>
      <c r="C1" s="111"/>
      <c r="D1" s="111"/>
      <c r="E1" s="111"/>
      <c r="F1" s="111"/>
      <c r="G1" s="7"/>
    </row>
    <row r="2" spans="1:9">
      <c r="A2" s="112" t="s">
        <v>0</v>
      </c>
      <c r="B2" s="115" t="s">
        <v>111</v>
      </c>
      <c r="C2" s="97"/>
      <c r="D2" s="118" t="s">
        <v>224</v>
      </c>
      <c r="E2" s="118" t="s">
        <v>229</v>
      </c>
      <c r="F2" s="113"/>
      <c r="G2" s="119"/>
      <c r="H2" s="30"/>
    </row>
    <row r="3" spans="1:9">
      <c r="A3" s="114"/>
      <c r="B3" s="116"/>
      <c r="C3" s="116"/>
      <c r="D3" s="93"/>
      <c r="E3" s="93"/>
      <c r="F3" s="93"/>
      <c r="G3" s="106"/>
      <c r="H3" s="30"/>
    </row>
    <row r="4" spans="1:9">
      <c r="A4" s="99" t="s">
        <v>1</v>
      </c>
      <c r="B4" s="92" t="s">
        <v>112</v>
      </c>
      <c r="C4" s="93"/>
      <c r="D4" s="92" t="s">
        <v>225</v>
      </c>
      <c r="E4" s="92" t="s">
        <v>230</v>
      </c>
      <c r="F4" s="93"/>
      <c r="G4" s="106"/>
      <c r="H4" s="30"/>
    </row>
    <row r="5" spans="1:9">
      <c r="A5" s="114"/>
      <c r="B5" s="93"/>
      <c r="C5" s="93"/>
      <c r="D5" s="93"/>
      <c r="E5" s="93"/>
      <c r="F5" s="93"/>
      <c r="G5" s="106"/>
      <c r="H5" s="30"/>
    </row>
    <row r="6" spans="1:9">
      <c r="A6" s="99" t="s">
        <v>2</v>
      </c>
      <c r="B6" s="92" t="s">
        <v>113</v>
      </c>
      <c r="C6" s="93"/>
      <c r="D6" s="92" t="s">
        <v>226</v>
      </c>
      <c r="E6" s="92"/>
      <c r="F6" s="93"/>
      <c r="G6" s="106"/>
      <c r="H6" s="30"/>
    </row>
    <row r="7" spans="1:9">
      <c r="A7" s="114"/>
      <c r="B7" s="93"/>
      <c r="C7" s="93"/>
      <c r="D7" s="93"/>
      <c r="E7" s="93"/>
      <c r="F7" s="93"/>
      <c r="G7" s="106"/>
      <c r="H7" s="30"/>
    </row>
    <row r="8" spans="1:9">
      <c r="A8" s="99" t="s">
        <v>227</v>
      </c>
      <c r="B8" s="92"/>
      <c r="C8" s="93"/>
      <c r="D8" s="98" t="s">
        <v>208</v>
      </c>
      <c r="E8" s="102">
        <v>42254</v>
      </c>
      <c r="F8" s="93"/>
      <c r="G8" s="106"/>
      <c r="H8" s="30"/>
    </row>
    <row r="9" spans="1:9">
      <c r="A9" s="100"/>
      <c r="B9" s="101"/>
      <c r="C9" s="101"/>
      <c r="D9" s="101"/>
      <c r="E9" s="101"/>
      <c r="F9" s="101"/>
      <c r="G9" s="107"/>
      <c r="H9" s="30"/>
    </row>
    <row r="10" spans="1:9" ht="25.5">
      <c r="A10" s="76" t="s">
        <v>52</v>
      </c>
      <c r="B10" s="77" t="s">
        <v>53</v>
      </c>
      <c r="C10" s="78" t="s">
        <v>114</v>
      </c>
      <c r="D10" s="79" t="s">
        <v>249</v>
      </c>
      <c r="E10" s="79" t="s">
        <v>250</v>
      </c>
      <c r="F10" s="79" t="s">
        <v>251</v>
      </c>
      <c r="G10" s="80" t="s">
        <v>252</v>
      </c>
      <c r="H10" s="31"/>
    </row>
    <row r="11" spans="1:9">
      <c r="A11" s="37"/>
      <c r="B11" s="37" t="s">
        <v>54</v>
      </c>
      <c r="C11" s="37" t="s">
        <v>116</v>
      </c>
      <c r="D11" s="85">
        <v>0</v>
      </c>
      <c r="E11" s="85">
        <v>0</v>
      </c>
      <c r="F11" s="38">
        <f t="shared" ref="F11:F24" si="0">D11+E11</f>
        <v>0</v>
      </c>
      <c r="G11" s="38">
        <v>1.0401100000000001</v>
      </c>
      <c r="H11" s="32" t="s">
        <v>253</v>
      </c>
      <c r="I11" s="32">
        <f t="shared" ref="I11:I24" si="1">IF(H11="T",0,F11)</f>
        <v>0</v>
      </c>
    </row>
    <row r="12" spans="1:9">
      <c r="A12" s="15"/>
      <c r="B12" s="15" t="s">
        <v>61</v>
      </c>
      <c r="C12" s="15" t="s">
        <v>129</v>
      </c>
      <c r="D12" s="86">
        <v>0</v>
      </c>
      <c r="E12" s="86">
        <v>0</v>
      </c>
      <c r="F12" s="32">
        <f t="shared" si="0"/>
        <v>0</v>
      </c>
      <c r="G12" s="32">
        <v>2.4099999999999998E-3</v>
      </c>
      <c r="H12" s="32" t="s">
        <v>253</v>
      </c>
      <c r="I12" s="32">
        <f t="shared" si="1"/>
        <v>0</v>
      </c>
    </row>
    <row r="13" spans="1:9">
      <c r="A13" s="15"/>
      <c r="B13" s="15" t="s">
        <v>63</v>
      </c>
      <c r="C13" s="15" t="s">
        <v>132</v>
      </c>
      <c r="D13" s="86">
        <v>0</v>
      </c>
      <c r="E13" s="86">
        <v>0</v>
      </c>
      <c r="F13" s="32">
        <f t="shared" si="0"/>
        <v>0</v>
      </c>
      <c r="G13" s="32">
        <v>0.27775</v>
      </c>
      <c r="H13" s="32" t="s">
        <v>253</v>
      </c>
      <c r="I13" s="32">
        <f t="shared" si="1"/>
        <v>0</v>
      </c>
    </row>
    <row r="14" spans="1:9">
      <c r="A14" s="15"/>
      <c r="B14" s="15" t="s">
        <v>66</v>
      </c>
      <c r="C14" s="15" t="s">
        <v>136</v>
      </c>
      <c r="D14" s="86">
        <v>0</v>
      </c>
      <c r="E14" s="86">
        <v>0</v>
      </c>
      <c r="F14" s="32">
        <f t="shared" si="0"/>
        <v>0</v>
      </c>
      <c r="G14" s="32">
        <v>6.0170000000000001E-2</v>
      </c>
      <c r="H14" s="32" t="s">
        <v>253</v>
      </c>
      <c r="I14" s="32">
        <f t="shared" si="1"/>
        <v>0</v>
      </c>
    </row>
    <row r="15" spans="1:9">
      <c r="A15" s="15"/>
      <c r="B15" s="15" t="s">
        <v>71</v>
      </c>
      <c r="C15" s="15" t="s">
        <v>146</v>
      </c>
      <c r="D15" s="86">
        <v>0</v>
      </c>
      <c r="E15" s="86">
        <v>0</v>
      </c>
      <c r="F15" s="32">
        <f t="shared" si="0"/>
        <v>0</v>
      </c>
      <c r="G15" s="32">
        <v>0.81200000000000006</v>
      </c>
      <c r="H15" s="32" t="s">
        <v>253</v>
      </c>
      <c r="I15" s="32">
        <f t="shared" si="1"/>
        <v>0</v>
      </c>
    </row>
    <row r="16" spans="1:9">
      <c r="A16" s="15"/>
      <c r="B16" s="15" t="s">
        <v>76</v>
      </c>
      <c r="C16" s="15" t="s">
        <v>151</v>
      </c>
      <c r="D16" s="86">
        <v>0</v>
      </c>
      <c r="E16" s="86">
        <v>0</v>
      </c>
      <c r="F16" s="32">
        <f t="shared" si="0"/>
        <v>0</v>
      </c>
      <c r="G16" s="32">
        <v>0.34122000000000002</v>
      </c>
      <c r="H16" s="32" t="s">
        <v>253</v>
      </c>
      <c r="I16" s="32">
        <f t="shared" si="1"/>
        <v>0</v>
      </c>
    </row>
    <row r="17" spans="1:9">
      <c r="A17" s="15"/>
      <c r="B17" s="15" t="s">
        <v>83</v>
      </c>
      <c r="C17" s="15" t="s">
        <v>161</v>
      </c>
      <c r="D17" s="86">
        <v>0</v>
      </c>
      <c r="E17" s="86">
        <v>0</v>
      </c>
      <c r="F17" s="32">
        <f t="shared" si="0"/>
        <v>0</v>
      </c>
      <c r="G17" s="32">
        <v>1.4599999999999999E-3</v>
      </c>
      <c r="H17" s="32" t="s">
        <v>253</v>
      </c>
      <c r="I17" s="32">
        <f t="shared" si="1"/>
        <v>0</v>
      </c>
    </row>
    <row r="18" spans="1:9">
      <c r="A18" s="15"/>
      <c r="B18" s="15" t="s">
        <v>85</v>
      </c>
      <c r="C18" s="15" t="s">
        <v>163</v>
      </c>
      <c r="D18" s="86">
        <v>0</v>
      </c>
      <c r="E18" s="86">
        <v>0</v>
      </c>
      <c r="F18" s="32">
        <f t="shared" si="0"/>
        <v>0</v>
      </c>
      <c r="G18" s="32">
        <v>3.0190000000000002E-2</v>
      </c>
      <c r="H18" s="32" t="s">
        <v>253</v>
      </c>
      <c r="I18" s="32">
        <f t="shared" si="1"/>
        <v>0</v>
      </c>
    </row>
    <row r="19" spans="1:9">
      <c r="A19" s="15"/>
      <c r="B19" s="15" t="s">
        <v>88</v>
      </c>
      <c r="C19" s="15" t="s">
        <v>167</v>
      </c>
      <c r="D19" s="86">
        <v>0</v>
      </c>
      <c r="E19" s="86">
        <v>0</v>
      </c>
      <c r="F19" s="32">
        <f t="shared" si="0"/>
        <v>0</v>
      </c>
      <c r="G19" s="32">
        <v>3.7920000000000002E-2</v>
      </c>
      <c r="H19" s="32" t="s">
        <v>253</v>
      </c>
      <c r="I19" s="32">
        <f t="shared" si="1"/>
        <v>0</v>
      </c>
    </row>
    <row r="20" spans="1:9">
      <c r="A20" s="15"/>
      <c r="B20" s="15" t="s">
        <v>90</v>
      </c>
      <c r="C20" s="15" t="s">
        <v>170</v>
      </c>
      <c r="D20" s="86">
        <v>0</v>
      </c>
      <c r="E20" s="86">
        <v>0</v>
      </c>
      <c r="F20" s="32">
        <f t="shared" si="0"/>
        <v>0</v>
      </c>
      <c r="G20" s="32">
        <v>1.33E-3</v>
      </c>
      <c r="H20" s="32" t="s">
        <v>253</v>
      </c>
      <c r="I20" s="32">
        <f t="shared" si="1"/>
        <v>0</v>
      </c>
    </row>
    <row r="21" spans="1:9">
      <c r="A21" s="15"/>
      <c r="B21" s="15" t="s">
        <v>92</v>
      </c>
      <c r="C21" s="15" t="s">
        <v>173</v>
      </c>
      <c r="D21" s="86">
        <v>0</v>
      </c>
      <c r="E21" s="86">
        <v>0</v>
      </c>
      <c r="F21" s="32">
        <f t="shared" si="0"/>
        <v>0</v>
      </c>
      <c r="G21" s="32">
        <v>1.7876700000000001</v>
      </c>
      <c r="H21" s="32" t="s">
        <v>253</v>
      </c>
      <c r="I21" s="32">
        <f t="shared" si="1"/>
        <v>0</v>
      </c>
    </row>
    <row r="22" spans="1:9">
      <c r="A22" s="15"/>
      <c r="B22" s="15" t="s">
        <v>97</v>
      </c>
      <c r="C22" s="15" t="s">
        <v>182</v>
      </c>
      <c r="D22" s="86">
        <v>0</v>
      </c>
      <c r="E22" s="86">
        <v>0</v>
      </c>
      <c r="F22" s="32">
        <f t="shared" si="0"/>
        <v>0</v>
      </c>
      <c r="G22" s="32">
        <v>0</v>
      </c>
      <c r="H22" s="32" t="s">
        <v>253</v>
      </c>
      <c r="I22" s="32">
        <f t="shared" si="1"/>
        <v>0</v>
      </c>
    </row>
    <row r="23" spans="1:9">
      <c r="A23" s="15"/>
      <c r="B23" s="15" t="s">
        <v>99</v>
      </c>
      <c r="C23" s="15" t="s">
        <v>185</v>
      </c>
      <c r="D23" s="86">
        <v>0</v>
      </c>
      <c r="E23" s="86">
        <v>0</v>
      </c>
      <c r="F23" s="32">
        <f t="shared" si="0"/>
        <v>0</v>
      </c>
      <c r="G23" s="32">
        <v>4.0469999999999999E-2</v>
      </c>
      <c r="H23" s="32" t="s">
        <v>253</v>
      </c>
      <c r="I23" s="32">
        <f t="shared" si="1"/>
        <v>0</v>
      </c>
    </row>
    <row r="24" spans="1:9">
      <c r="A24" s="15"/>
      <c r="B24" s="15" t="s">
        <v>106</v>
      </c>
      <c r="C24" s="15" t="s">
        <v>199</v>
      </c>
      <c r="D24" s="86">
        <v>0</v>
      </c>
      <c r="E24" s="86">
        <v>0</v>
      </c>
      <c r="F24" s="32">
        <f t="shared" si="0"/>
        <v>0</v>
      </c>
      <c r="G24" s="32">
        <v>0</v>
      </c>
      <c r="H24" s="32" t="s">
        <v>253</v>
      </c>
      <c r="I24" s="32">
        <f t="shared" si="1"/>
        <v>0</v>
      </c>
    </row>
    <row r="26" spans="1:9">
      <c r="E26" s="39" t="s">
        <v>223</v>
      </c>
      <c r="F26" s="36">
        <f>SUM(I11:I24)</f>
        <v>0</v>
      </c>
    </row>
  </sheetData>
  <sheetProtection password="CF40" sheet="1" objects="1" scenarios="1"/>
  <mergeCells count="17">
    <mergeCell ref="A4:A5"/>
    <mergeCell ref="B4:C5"/>
    <mergeCell ref="D4:D5"/>
    <mergeCell ref="E4:G5"/>
    <mergeCell ref="A1:F1"/>
    <mergeCell ref="A2:A3"/>
    <mergeCell ref="B2:C3"/>
    <mergeCell ref="D2:D3"/>
    <mergeCell ref="E2:G3"/>
    <mergeCell ref="A6:A7"/>
    <mergeCell ref="B6:C7"/>
    <mergeCell ref="D6:D7"/>
    <mergeCell ref="E6:G7"/>
    <mergeCell ref="A8:A9"/>
    <mergeCell ref="B8:C9"/>
    <mergeCell ref="D8:D9"/>
    <mergeCell ref="E8:G9"/>
  </mergeCells>
  <pageMargins left="0.39400000000000002" right="0.39400000000000002" top="0.59099999999999997" bottom="0.59099999999999997" header="0.5" footer="0.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37"/>
  <sheetViews>
    <sheetView topLeftCell="A16" workbookViewId="0">
      <selection activeCell="I24" sqref="I24"/>
    </sheetView>
  </sheetViews>
  <sheetFormatPr defaultColWidth="11.5703125" defaultRowHeight="12.7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2.85546875" customWidth="1"/>
    <col min="9" max="9" width="22.85546875" customWidth="1"/>
  </cols>
  <sheetData>
    <row r="1" spans="1:10" ht="28.7" customHeight="1">
      <c r="A1" s="146" t="s">
        <v>315</v>
      </c>
      <c r="B1" s="147"/>
      <c r="C1" s="147"/>
      <c r="D1" s="147"/>
      <c r="E1" s="147"/>
      <c r="F1" s="147"/>
      <c r="G1" s="147"/>
      <c r="H1" s="147"/>
      <c r="I1" s="147"/>
    </row>
    <row r="2" spans="1:10">
      <c r="A2" s="112" t="s">
        <v>0</v>
      </c>
      <c r="B2" s="113"/>
      <c r="C2" s="115" t="s">
        <v>111</v>
      </c>
      <c r="D2" s="97"/>
      <c r="E2" s="118" t="s">
        <v>224</v>
      </c>
      <c r="F2" s="118" t="s">
        <v>229</v>
      </c>
      <c r="G2" s="113"/>
      <c r="H2" s="118" t="s">
        <v>292</v>
      </c>
      <c r="I2" s="148" t="s">
        <v>296</v>
      </c>
      <c r="J2" s="30"/>
    </row>
    <row r="3" spans="1:10">
      <c r="A3" s="114"/>
      <c r="B3" s="93"/>
      <c r="C3" s="116"/>
      <c r="D3" s="116"/>
      <c r="E3" s="93"/>
      <c r="F3" s="93"/>
      <c r="G3" s="93"/>
      <c r="H3" s="93"/>
      <c r="I3" s="106"/>
      <c r="J3" s="30"/>
    </row>
    <row r="4" spans="1:10">
      <c r="A4" s="99" t="s">
        <v>1</v>
      </c>
      <c r="B4" s="93"/>
      <c r="C4" s="92" t="s">
        <v>112</v>
      </c>
      <c r="D4" s="93"/>
      <c r="E4" s="92" t="s">
        <v>225</v>
      </c>
      <c r="F4" s="92" t="s">
        <v>230</v>
      </c>
      <c r="G4" s="93"/>
      <c r="H4" s="92" t="s">
        <v>292</v>
      </c>
      <c r="I4" s="141"/>
      <c r="J4" s="30"/>
    </row>
    <row r="5" spans="1:10">
      <c r="A5" s="114"/>
      <c r="B5" s="93"/>
      <c r="C5" s="93"/>
      <c r="D5" s="93"/>
      <c r="E5" s="93"/>
      <c r="F5" s="93"/>
      <c r="G5" s="93"/>
      <c r="H5" s="93"/>
      <c r="I5" s="106"/>
      <c r="J5" s="30"/>
    </row>
    <row r="6" spans="1:10">
      <c r="A6" s="99" t="s">
        <v>2</v>
      </c>
      <c r="B6" s="93"/>
      <c r="C6" s="92" t="s">
        <v>113</v>
      </c>
      <c r="D6" s="93"/>
      <c r="E6" s="92" t="s">
        <v>319</v>
      </c>
      <c r="F6" s="144" t="s">
        <v>320</v>
      </c>
      <c r="G6" s="145"/>
      <c r="H6" s="92" t="s">
        <v>292</v>
      </c>
      <c r="I6" s="141"/>
      <c r="J6" s="30"/>
    </row>
    <row r="7" spans="1:10">
      <c r="A7" s="114"/>
      <c r="B7" s="93"/>
      <c r="C7" s="93"/>
      <c r="D7" s="93"/>
      <c r="E7" s="93"/>
      <c r="F7" s="145"/>
      <c r="G7" s="145"/>
      <c r="H7" s="93"/>
      <c r="I7" s="106"/>
      <c r="J7" s="30"/>
    </row>
    <row r="8" spans="1:10">
      <c r="A8" s="99" t="s">
        <v>206</v>
      </c>
      <c r="B8" s="93"/>
      <c r="C8" s="98" t="s">
        <v>5</v>
      </c>
      <c r="D8" s="93"/>
      <c r="E8" s="92" t="s">
        <v>207</v>
      </c>
      <c r="F8" s="93"/>
      <c r="G8" s="93"/>
      <c r="H8" s="98" t="s">
        <v>293</v>
      </c>
      <c r="I8" s="141" t="s">
        <v>50</v>
      </c>
      <c r="J8" s="30"/>
    </row>
    <row r="9" spans="1:10">
      <c r="A9" s="114"/>
      <c r="B9" s="93"/>
      <c r="C9" s="93"/>
      <c r="D9" s="93"/>
      <c r="E9" s="93"/>
      <c r="F9" s="93"/>
      <c r="G9" s="93"/>
      <c r="H9" s="93"/>
      <c r="I9" s="106"/>
      <c r="J9" s="30"/>
    </row>
    <row r="10" spans="1:10">
      <c r="A10" s="99" t="s">
        <v>3</v>
      </c>
      <c r="B10" s="93"/>
      <c r="C10" s="92">
        <v>8013229</v>
      </c>
      <c r="D10" s="93"/>
      <c r="E10" s="92" t="s">
        <v>227</v>
      </c>
      <c r="F10" s="92"/>
      <c r="G10" s="93"/>
      <c r="H10" s="98" t="s">
        <v>294</v>
      </c>
      <c r="I10" s="139">
        <v>42254</v>
      </c>
      <c r="J10" s="30"/>
    </row>
    <row r="11" spans="1:10">
      <c r="A11" s="142"/>
      <c r="B11" s="143"/>
      <c r="C11" s="143"/>
      <c r="D11" s="143"/>
      <c r="E11" s="143"/>
      <c r="F11" s="143"/>
      <c r="G11" s="143"/>
      <c r="H11" s="143"/>
      <c r="I11" s="140"/>
      <c r="J11" s="30"/>
    </row>
    <row r="12" spans="1:10" ht="23.45" customHeight="1">
      <c r="A12" s="135" t="s">
        <v>316</v>
      </c>
      <c r="B12" s="136"/>
      <c r="C12" s="136"/>
      <c r="D12" s="136"/>
      <c r="E12" s="136"/>
      <c r="F12" s="136"/>
      <c r="G12" s="136"/>
      <c r="H12" s="136"/>
      <c r="I12" s="136"/>
    </row>
    <row r="13" spans="1:10" ht="26.45" customHeight="1">
      <c r="A13" s="40" t="s">
        <v>254</v>
      </c>
      <c r="B13" s="137" t="s">
        <v>266</v>
      </c>
      <c r="C13" s="138"/>
      <c r="D13" s="40" t="s">
        <v>268</v>
      </c>
      <c r="E13" s="137" t="s">
        <v>277</v>
      </c>
      <c r="F13" s="138"/>
      <c r="G13" s="40" t="s">
        <v>278</v>
      </c>
      <c r="H13" s="137" t="s">
        <v>295</v>
      </c>
      <c r="I13" s="138"/>
      <c r="J13" s="30"/>
    </row>
    <row r="14" spans="1:10" ht="15.2" customHeight="1">
      <c r="A14" s="41" t="s">
        <v>255</v>
      </c>
      <c r="B14" s="45" t="s">
        <v>267</v>
      </c>
      <c r="C14" s="49">
        <f>SUM('Stavební soupis prací'!Q12:Q117)</f>
        <v>0</v>
      </c>
      <c r="D14" s="133" t="s">
        <v>269</v>
      </c>
      <c r="E14" s="134"/>
      <c r="F14" s="49">
        <v>0</v>
      </c>
      <c r="G14" s="133" t="s">
        <v>279</v>
      </c>
      <c r="H14" s="134"/>
      <c r="I14" s="49">
        <f>VORN!I20</f>
        <v>0</v>
      </c>
      <c r="J14" s="30"/>
    </row>
    <row r="15" spans="1:10" ht="15.2" customHeight="1">
      <c r="A15" s="42"/>
      <c r="B15" s="45" t="s">
        <v>228</v>
      </c>
      <c r="C15" s="49">
        <f>SUM('Stavební soupis prací'!R12:R117)</f>
        <v>0</v>
      </c>
      <c r="D15" s="133" t="s">
        <v>270</v>
      </c>
      <c r="E15" s="134"/>
      <c r="F15" s="49">
        <v>0</v>
      </c>
      <c r="G15" s="133" t="s">
        <v>280</v>
      </c>
      <c r="H15" s="134"/>
      <c r="I15" s="49">
        <f>VORN!I21</f>
        <v>0</v>
      </c>
      <c r="J15" s="30"/>
    </row>
    <row r="16" spans="1:10" ht="15.2" customHeight="1">
      <c r="A16" s="41" t="s">
        <v>256</v>
      </c>
      <c r="B16" s="45" t="s">
        <v>267</v>
      </c>
      <c r="C16" s="49">
        <f>SUM('Stavební soupis prací'!S12:S117)</f>
        <v>0</v>
      </c>
      <c r="D16" s="133" t="s">
        <v>271</v>
      </c>
      <c r="E16" s="134"/>
      <c r="F16" s="49">
        <v>0</v>
      </c>
      <c r="G16" s="133" t="s">
        <v>281</v>
      </c>
      <c r="H16" s="134"/>
      <c r="I16" s="49">
        <v>0</v>
      </c>
      <c r="J16" s="30"/>
    </row>
    <row r="17" spans="1:10" ht="15.2" customHeight="1">
      <c r="A17" s="42"/>
      <c r="B17" s="45" t="s">
        <v>228</v>
      </c>
      <c r="C17" s="49">
        <f>SUM('Stavební soupis prací'!T12:T117)</f>
        <v>0</v>
      </c>
      <c r="D17" s="133"/>
      <c r="E17" s="134"/>
      <c r="F17" s="50"/>
      <c r="G17" s="133" t="s">
        <v>282</v>
      </c>
      <c r="H17" s="134"/>
      <c r="I17" s="49">
        <v>0</v>
      </c>
      <c r="J17" s="30"/>
    </row>
    <row r="18" spans="1:10" ht="15.2" customHeight="1">
      <c r="A18" s="41" t="s">
        <v>257</v>
      </c>
      <c r="B18" s="45" t="s">
        <v>267</v>
      </c>
      <c r="C18" s="49">
        <f>SUM('Stavební soupis prací'!U12:U117)</f>
        <v>0</v>
      </c>
      <c r="D18" s="133"/>
      <c r="E18" s="134"/>
      <c r="F18" s="50"/>
      <c r="G18" s="133" t="s">
        <v>283</v>
      </c>
      <c r="H18" s="134"/>
      <c r="I18" s="49">
        <v>0</v>
      </c>
      <c r="J18" s="30"/>
    </row>
    <row r="19" spans="1:10" ht="15.2" customHeight="1">
      <c r="A19" s="42"/>
      <c r="B19" s="45" t="s">
        <v>228</v>
      </c>
      <c r="C19" s="49">
        <f>SUM('Stavební soupis prací'!V12:V117)</f>
        <v>0</v>
      </c>
      <c r="D19" s="133"/>
      <c r="E19" s="134"/>
      <c r="F19" s="50"/>
      <c r="G19" s="133" t="s">
        <v>284</v>
      </c>
      <c r="H19" s="134"/>
      <c r="I19" s="49">
        <v>0</v>
      </c>
      <c r="J19" s="30"/>
    </row>
    <row r="20" spans="1:10" ht="15.2" customHeight="1">
      <c r="A20" s="131" t="s">
        <v>258</v>
      </c>
      <c r="B20" s="132"/>
      <c r="C20" s="49">
        <f>SUM('Stavební soupis prací'!W12:W117)</f>
        <v>0</v>
      </c>
      <c r="D20" s="133"/>
      <c r="E20" s="134"/>
      <c r="F20" s="50"/>
      <c r="G20" s="133"/>
      <c r="H20" s="134"/>
      <c r="I20" s="50"/>
      <c r="J20" s="30"/>
    </row>
    <row r="21" spans="1:10" ht="15.2" customHeight="1">
      <c r="A21" s="131" t="s">
        <v>259</v>
      </c>
      <c r="B21" s="132"/>
      <c r="C21" s="49">
        <f>SUM('Stavební soupis prací'!O12:O117)</f>
        <v>0</v>
      </c>
      <c r="D21" s="133"/>
      <c r="E21" s="134"/>
      <c r="F21" s="50"/>
      <c r="G21" s="133"/>
      <c r="H21" s="134"/>
      <c r="I21" s="50"/>
      <c r="J21" s="30"/>
    </row>
    <row r="22" spans="1:10" ht="16.7" customHeight="1">
      <c r="A22" s="131" t="s">
        <v>260</v>
      </c>
      <c r="B22" s="132"/>
      <c r="C22" s="49">
        <f>SUM(C14:C21)</f>
        <v>0</v>
      </c>
      <c r="D22" s="131" t="s">
        <v>272</v>
      </c>
      <c r="E22" s="132"/>
      <c r="F22" s="49">
        <f>SUM(F14:F21)</f>
        <v>0</v>
      </c>
      <c r="G22" s="131" t="s">
        <v>285</v>
      </c>
      <c r="H22" s="132"/>
      <c r="I22" s="49">
        <f>SUM(I14:I21)</f>
        <v>0</v>
      </c>
      <c r="J22" s="30"/>
    </row>
    <row r="23" spans="1:10" ht="15.2" customHeight="1">
      <c r="A23" s="8"/>
      <c r="B23" s="8"/>
      <c r="C23" s="47"/>
      <c r="D23" s="131" t="s">
        <v>273</v>
      </c>
      <c r="E23" s="132"/>
      <c r="F23" s="51">
        <v>0</v>
      </c>
      <c r="G23" s="131" t="s">
        <v>286</v>
      </c>
      <c r="H23" s="132"/>
      <c r="I23" s="49">
        <v>0</v>
      </c>
      <c r="J23" s="30"/>
    </row>
    <row r="24" spans="1:10" ht="15.2" customHeight="1">
      <c r="D24" s="8"/>
      <c r="E24" s="8"/>
      <c r="F24" s="52"/>
      <c r="G24" s="131" t="s">
        <v>287</v>
      </c>
      <c r="H24" s="132"/>
      <c r="I24" s="49">
        <f>vorn_sum</f>
        <v>0</v>
      </c>
      <c r="J24" s="30"/>
    </row>
    <row r="25" spans="1:10" ht="15.2" customHeight="1">
      <c r="F25" s="53"/>
      <c r="G25" s="131" t="s">
        <v>288</v>
      </c>
      <c r="H25" s="132"/>
      <c r="I25" s="49">
        <v>0</v>
      </c>
      <c r="J25" s="30"/>
    </row>
    <row r="26" spans="1:10">
      <c r="A26" s="7"/>
      <c r="B26" s="7"/>
      <c r="C26" s="7"/>
      <c r="G26" s="8"/>
      <c r="H26" s="8"/>
      <c r="I26" s="8"/>
    </row>
    <row r="27" spans="1:10" ht="15.2" customHeight="1">
      <c r="A27" s="126" t="s">
        <v>261</v>
      </c>
      <c r="B27" s="127"/>
      <c r="C27" s="54">
        <f>SUM('Stavební soupis prací'!Y12:Y117)</f>
        <v>0</v>
      </c>
      <c r="D27" s="48"/>
      <c r="E27" s="7"/>
      <c r="F27" s="7"/>
      <c r="G27" s="7"/>
      <c r="H27" s="7"/>
      <c r="I27" s="7"/>
    </row>
    <row r="28" spans="1:10" ht="15.2" customHeight="1">
      <c r="A28" s="126" t="s">
        <v>262</v>
      </c>
      <c r="B28" s="127"/>
      <c r="C28" s="54">
        <f>SUM('Stavební soupis prací'!Z12:Z117)</f>
        <v>0</v>
      </c>
      <c r="D28" s="126" t="s">
        <v>274</v>
      </c>
      <c r="E28" s="127"/>
      <c r="F28" s="54">
        <f>ROUND(C28*(15/100),2)</f>
        <v>0</v>
      </c>
      <c r="G28" s="126" t="s">
        <v>289</v>
      </c>
      <c r="H28" s="127"/>
      <c r="I28" s="54">
        <f>SUM(C27:C29)</f>
        <v>0</v>
      </c>
      <c r="J28" s="30"/>
    </row>
    <row r="29" spans="1:10" ht="15.2" customHeight="1">
      <c r="A29" s="126" t="s">
        <v>263</v>
      </c>
      <c r="B29" s="127"/>
      <c r="C29" s="54">
        <f>SUM('Stavební soupis prací'!AA12:AA117)+(F22+I22+F23+I23+I24+I25)</f>
        <v>0</v>
      </c>
      <c r="D29" s="126" t="s">
        <v>275</v>
      </c>
      <c r="E29" s="127"/>
      <c r="F29" s="54">
        <f>ROUND(C29*(21/100),2)</f>
        <v>0</v>
      </c>
      <c r="G29" s="126" t="s">
        <v>290</v>
      </c>
      <c r="H29" s="127"/>
      <c r="I29" s="54">
        <f>SUM(F28:F29)+I28</f>
        <v>0</v>
      </c>
      <c r="J29" s="30"/>
    </row>
    <row r="30" spans="1:10">
      <c r="A30" s="43"/>
      <c r="B30" s="43"/>
      <c r="C30" s="43"/>
      <c r="D30" s="43"/>
      <c r="E30" s="43"/>
      <c r="F30" s="43"/>
      <c r="G30" s="43"/>
      <c r="H30" s="43"/>
      <c r="I30" s="43"/>
    </row>
    <row r="31" spans="1:10" ht="14.45" customHeight="1">
      <c r="A31" s="128" t="s">
        <v>264</v>
      </c>
      <c r="B31" s="129"/>
      <c r="C31" s="130"/>
      <c r="D31" s="128" t="s">
        <v>276</v>
      </c>
      <c r="E31" s="129"/>
      <c r="F31" s="130"/>
      <c r="G31" s="128" t="s">
        <v>291</v>
      </c>
      <c r="H31" s="129"/>
      <c r="I31" s="130"/>
      <c r="J31" s="31"/>
    </row>
    <row r="32" spans="1:10" ht="14.45" customHeight="1">
      <c r="A32" s="120"/>
      <c r="B32" s="121"/>
      <c r="C32" s="122"/>
      <c r="D32" s="120"/>
      <c r="E32" s="121"/>
      <c r="F32" s="122"/>
      <c r="G32" s="120"/>
      <c r="H32" s="121"/>
      <c r="I32" s="122"/>
      <c r="J32" s="31"/>
    </row>
    <row r="33" spans="1:10" ht="14.45" customHeight="1">
      <c r="A33" s="120"/>
      <c r="B33" s="121"/>
      <c r="C33" s="122"/>
      <c r="D33" s="120"/>
      <c r="E33" s="121"/>
      <c r="F33" s="122"/>
      <c r="G33" s="120"/>
      <c r="H33" s="121"/>
      <c r="I33" s="122"/>
      <c r="J33" s="31"/>
    </row>
    <row r="34" spans="1:10" ht="14.45" customHeight="1">
      <c r="A34" s="120"/>
      <c r="B34" s="121"/>
      <c r="C34" s="122"/>
      <c r="D34" s="120"/>
      <c r="E34" s="121"/>
      <c r="F34" s="122"/>
      <c r="G34" s="120"/>
      <c r="H34" s="121"/>
      <c r="I34" s="122"/>
      <c r="J34" s="31"/>
    </row>
    <row r="35" spans="1:10" ht="14.45" customHeight="1">
      <c r="A35" s="123" t="s">
        <v>265</v>
      </c>
      <c r="B35" s="124"/>
      <c r="C35" s="125"/>
      <c r="D35" s="123" t="s">
        <v>265</v>
      </c>
      <c r="E35" s="124"/>
      <c r="F35" s="125"/>
      <c r="G35" s="123" t="s">
        <v>265</v>
      </c>
      <c r="H35" s="124"/>
      <c r="I35" s="125"/>
      <c r="J35" s="31"/>
    </row>
    <row r="36" spans="1:10" ht="11.25" customHeight="1">
      <c r="A36" s="44" t="s">
        <v>51</v>
      </c>
      <c r="B36" s="46"/>
      <c r="C36" s="46"/>
      <c r="D36" s="46"/>
      <c r="E36" s="46"/>
      <c r="F36" s="46"/>
      <c r="G36" s="46"/>
      <c r="H36" s="46"/>
      <c r="I36" s="46"/>
    </row>
    <row r="37" spans="1:10" ht="409.6" hidden="1" customHeight="1">
      <c r="A37" s="92"/>
      <c r="B37" s="93"/>
      <c r="C37" s="93"/>
      <c r="D37" s="93"/>
      <c r="E37" s="93"/>
      <c r="F37" s="93"/>
      <c r="G37" s="93"/>
      <c r="H37" s="93"/>
      <c r="I37" s="93"/>
    </row>
  </sheetData>
  <sheetProtection password="CF40" sheet="1" objects="1" scenarios="1"/>
  <mergeCells count="83">
    <mergeCell ref="A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A29:B29"/>
    <mergeCell ref="D29:E29"/>
    <mergeCell ref="G29:H29"/>
    <mergeCell ref="A31:C31"/>
    <mergeCell ref="D31:F31"/>
    <mergeCell ref="G31:I31"/>
    <mergeCell ref="A32:C32"/>
    <mergeCell ref="D32:F32"/>
    <mergeCell ref="G32:I32"/>
    <mergeCell ref="A33:C33"/>
    <mergeCell ref="D33:F33"/>
    <mergeCell ref="G33:I33"/>
    <mergeCell ref="A37:I37"/>
    <mergeCell ref="A34:C34"/>
    <mergeCell ref="D34:F34"/>
    <mergeCell ref="G34:I34"/>
    <mergeCell ref="A35:C35"/>
    <mergeCell ref="D35:F35"/>
    <mergeCell ref="G35:I35"/>
  </mergeCells>
  <hyperlinks>
    <hyperlink ref="F6" r:id="rId1"/>
  </hyperlinks>
  <pageMargins left="0.39400000000000002" right="0.39400000000000002" top="0.59099999999999997" bottom="0.59099999999999997" header="0.5" footer="0.5"/>
  <pageSetup paperSize="9" scale="95" fitToHeight="0" orientation="landscape" r:id="rId2"/>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J39"/>
  <sheetViews>
    <sheetView workbookViewId="0">
      <selection activeCell="F35" sqref="F35"/>
    </sheetView>
  </sheetViews>
  <sheetFormatPr defaultColWidth="11.5703125" defaultRowHeight="12.7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9.5703125" customWidth="1"/>
    <col min="9" max="9" width="21" customWidth="1"/>
    <col min="10" max="10" width="1.7109375" customWidth="1"/>
  </cols>
  <sheetData>
    <row r="1" spans="1:10" ht="28.7" customHeight="1">
      <c r="A1" s="146" t="s">
        <v>297</v>
      </c>
      <c r="B1" s="147"/>
      <c r="C1" s="147"/>
      <c r="D1" s="147"/>
      <c r="E1" s="147"/>
      <c r="F1" s="147"/>
      <c r="G1" s="147"/>
      <c r="H1" s="147"/>
      <c r="I1" s="147"/>
    </row>
    <row r="2" spans="1:10">
      <c r="A2" s="112" t="s">
        <v>0</v>
      </c>
      <c r="B2" s="113"/>
      <c r="C2" s="115" t="s">
        <v>111</v>
      </c>
      <c r="D2" s="97"/>
      <c r="E2" s="118" t="s">
        <v>224</v>
      </c>
      <c r="F2" s="118" t="s">
        <v>229</v>
      </c>
      <c r="G2" s="113"/>
      <c r="H2" s="118" t="s">
        <v>292</v>
      </c>
      <c r="I2" s="148" t="s">
        <v>296</v>
      </c>
      <c r="J2" s="30"/>
    </row>
    <row r="3" spans="1:10">
      <c r="A3" s="114"/>
      <c r="B3" s="93"/>
      <c r="C3" s="116"/>
      <c r="D3" s="116"/>
      <c r="E3" s="93"/>
      <c r="F3" s="93"/>
      <c r="G3" s="93"/>
      <c r="H3" s="93"/>
      <c r="I3" s="106"/>
      <c r="J3" s="30"/>
    </row>
    <row r="4" spans="1:10">
      <c r="A4" s="99" t="s">
        <v>1</v>
      </c>
      <c r="B4" s="93"/>
      <c r="C4" s="92" t="s">
        <v>112</v>
      </c>
      <c r="D4" s="93"/>
      <c r="E4" s="92" t="s">
        <v>225</v>
      </c>
      <c r="F4" s="92" t="s">
        <v>230</v>
      </c>
      <c r="G4" s="93"/>
      <c r="H4" s="92" t="s">
        <v>292</v>
      </c>
      <c r="I4" s="141"/>
      <c r="J4" s="30"/>
    </row>
    <row r="5" spans="1:10" ht="8.25" customHeight="1">
      <c r="A5" s="114"/>
      <c r="B5" s="93"/>
      <c r="C5" s="93"/>
      <c r="D5" s="93"/>
      <c r="E5" s="93"/>
      <c r="F5" s="93"/>
      <c r="G5" s="93"/>
      <c r="H5" s="93"/>
      <c r="I5" s="106"/>
      <c r="J5" s="30"/>
    </row>
    <row r="6" spans="1:10">
      <c r="A6" s="99" t="s">
        <v>2</v>
      </c>
      <c r="B6" s="93"/>
      <c r="C6" s="92" t="s">
        <v>113</v>
      </c>
      <c r="D6" s="93"/>
      <c r="E6" s="92" t="s">
        <v>226</v>
      </c>
      <c r="F6" s="92"/>
      <c r="G6" s="93"/>
      <c r="H6" s="92" t="s">
        <v>292</v>
      </c>
      <c r="I6" s="141"/>
      <c r="J6" s="30"/>
    </row>
    <row r="7" spans="1:10">
      <c r="A7" s="114"/>
      <c r="B7" s="93"/>
      <c r="C7" s="93"/>
      <c r="D7" s="93"/>
      <c r="E7" s="93"/>
      <c r="F7" s="93"/>
      <c r="G7" s="93"/>
      <c r="H7" s="93"/>
      <c r="I7" s="106"/>
      <c r="J7" s="30"/>
    </row>
    <row r="8" spans="1:10">
      <c r="A8" s="99" t="s">
        <v>206</v>
      </c>
      <c r="B8" s="93"/>
      <c r="C8" s="98" t="s">
        <v>5</v>
      </c>
      <c r="D8" s="93"/>
      <c r="E8" s="92" t="s">
        <v>207</v>
      </c>
      <c r="F8" s="93"/>
      <c r="G8" s="93"/>
      <c r="H8" s="98" t="s">
        <v>293</v>
      </c>
      <c r="I8" s="141"/>
      <c r="J8" s="30"/>
    </row>
    <row r="9" spans="1:10">
      <c r="A9" s="114"/>
      <c r="B9" s="93"/>
      <c r="C9" s="93"/>
      <c r="D9" s="93"/>
      <c r="E9" s="93"/>
      <c r="F9" s="93"/>
      <c r="G9" s="93"/>
      <c r="H9" s="93"/>
      <c r="I9" s="106"/>
      <c r="J9" s="30"/>
    </row>
    <row r="10" spans="1:10">
      <c r="A10" s="99" t="s">
        <v>3</v>
      </c>
      <c r="B10" s="93"/>
      <c r="C10" s="92">
        <v>8013229</v>
      </c>
      <c r="D10" s="93"/>
      <c r="E10" s="92" t="s">
        <v>227</v>
      </c>
      <c r="F10" s="92"/>
      <c r="G10" s="93"/>
      <c r="H10" s="98" t="s">
        <v>294</v>
      </c>
      <c r="I10" s="139">
        <v>42254</v>
      </c>
      <c r="J10" s="30"/>
    </row>
    <row r="11" spans="1:10" ht="7.5" customHeight="1">
      <c r="A11" s="142"/>
      <c r="B11" s="143"/>
      <c r="C11" s="143"/>
      <c r="D11" s="143"/>
      <c r="E11" s="143"/>
      <c r="F11" s="143"/>
      <c r="G11" s="143"/>
      <c r="H11" s="143"/>
      <c r="I11" s="140"/>
      <c r="J11" s="30"/>
    </row>
    <row r="12" spans="1:10" ht="15.2" customHeight="1" thickBot="1">
      <c r="A12" s="161" t="s">
        <v>298</v>
      </c>
      <c r="B12" s="162"/>
      <c r="C12" s="162"/>
      <c r="D12" s="162"/>
      <c r="E12" s="162"/>
      <c r="F12" s="56"/>
      <c r="G12" s="56"/>
      <c r="H12" s="56"/>
      <c r="I12" s="56"/>
    </row>
    <row r="13" spans="1:10">
      <c r="A13" s="163" t="s">
        <v>299</v>
      </c>
      <c r="B13" s="164"/>
      <c r="C13" s="164"/>
      <c r="D13" s="164"/>
      <c r="E13" s="165"/>
      <c r="F13" s="57" t="s">
        <v>306</v>
      </c>
      <c r="G13" s="57"/>
      <c r="H13" s="57"/>
      <c r="I13" s="57" t="s">
        <v>306</v>
      </c>
      <c r="J13" s="31"/>
    </row>
    <row r="14" spans="1:10" ht="13.5" thickBot="1">
      <c r="A14" s="173" t="s">
        <v>269</v>
      </c>
      <c r="B14" s="174"/>
      <c r="C14" s="174"/>
      <c r="D14" s="174"/>
      <c r="E14" s="175"/>
      <c r="F14" s="75" t="s">
        <v>314</v>
      </c>
      <c r="G14" s="61"/>
      <c r="H14" s="61"/>
      <c r="I14" s="58" t="str">
        <f>F14</f>
        <v>Nejsou</v>
      </c>
      <c r="J14" s="30"/>
    </row>
    <row r="15" spans="1:10" ht="13.5" thickBot="1">
      <c r="A15" s="173" t="s">
        <v>270</v>
      </c>
      <c r="B15" s="174"/>
      <c r="C15" s="174"/>
      <c r="D15" s="174"/>
      <c r="E15" s="175"/>
      <c r="F15" s="75" t="s">
        <v>313</v>
      </c>
      <c r="G15" s="61"/>
      <c r="H15" s="61"/>
      <c r="I15" s="58" t="str">
        <f>F15</f>
        <v>Není</v>
      </c>
      <c r="J15" s="30"/>
    </row>
    <row r="16" spans="1:10" ht="13.5" thickBot="1">
      <c r="A16" s="152" t="s">
        <v>271</v>
      </c>
      <c r="B16" s="153"/>
      <c r="C16" s="153"/>
      <c r="D16" s="153"/>
      <c r="E16" s="154"/>
      <c r="F16" s="75" t="s">
        <v>313</v>
      </c>
      <c r="G16" s="62"/>
      <c r="H16" s="62"/>
      <c r="I16" s="59" t="str">
        <f>F16</f>
        <v>Není</v>
      </c>
      <c r="J16" s="30"/>
    </row>
    <row r="17" spans="1:10">
      <c r="A17" s="149" t="s">
        <v>300</v>
      </c>
      <c r="B17" s="150"/>
      <c r="C17" s="150"/>
      <c r="D17" s="150"/>
      <c r="E17" s="151"/>
      <c r="F17" s="60"/>
      <c r="G17" s="63"/>
      <c r="H17" s="63"/>
      <c r="I17" s="64">
        <f>SUM(I14:I16)</f>
        <v>0</v>
      </c>
      <c r="J17" s="31"/>
    </row>
    <row r="18" spans="1:10">
      <c r="A18" s="55"/>
      <c r="B18" s="55"/>
      <c r="C18" s="55"/>
      <c r="D18" s="55"/>
      <c r="E18" s="55"/>
      <c r="F18" s="55"/>
      <c r="G18" s="55"/>
      <c r="H18" s="55"/>
      <c r="I18" s="55"/>
    </row>
    <row r="19" spans="1:10">
      <c r="A19" s="163" t="s">
        <v>295</v>
      </c>
      <c r="B19" s="164"/>
      <c r="C19" s="164"/>
      <c r="D19" s="164"/>
      <c r="E19" s="165"/>
      <c r="F19" s="57" t="s">
        <v>306</v>
      </c>
      <c r="G19" s="57"/>
      <c r="H19" s="57"/>
      <c r="I19" s="57" t="s">
        <v>306</v>
      </c>
      <c r="J19" s="31"/>
    </row>
    <row r="20" spans="1:10">
      <c r="A20" s="173" t="s">
        <v>279</v>
      </c>
      <c r="B20" s="174"/>
      <c r="C20" s="174"/>
      <c r="D20" s="174"/>
      <c r="E20" s="175"/>
      <c r="F20" s="87">
        <v>0</v>
      </c>
      <c r="G20" s="61"/>
      <c r="H20" s="61"/>
      <c r="I20" s="58">
        <f t="shared" ref="I20:I25" si="0">F20</f>
        <v>0</v>
      </c>
      <c r="J20" s="30"/>
    </row>
    <row r="21" spans="1:10">
      <c r="A21" s="173" t="s">
        <v>280</v>
      </c>
      <c r="B21" s="174"/>
      <c r="C21" s="174"/>
      <c r="D21" s="174"/>
      <c r="E21" s="175"/>
      <c r="F21" s="87">
        <v>0</v>
      </c>
      <c r="G21" s="61"/>
      <c r="H21" s="61"/>
      <c r="I21" s="58">
        <f t="shared" si="0"/>
        <v>0</v>
      </c>
      <c r="J21" s="30"/>
    </row>
    <row r="22" spans="1:10" ht="13.5" thickBot="1">
      <c r="A22" s="173" t="s">
        <v>281</v>
      </c>
      <c r="B22" s="174"/>
      <c r="C22" s="174"/>
      <c r="D22" s="174"/>
      <c r="E22" s="175"/>
      <c r="F22" s="75" t="s">
        <v>314</v>
      </c>
      <c r="G22" s="61"/>
      <c r="H22" s="61"/>
      <c r="I22" s="58" t="str">
        <f t="shared" si="0"/>
        <v>Nejsou</v>
      </c>
      <c r="J22" s="30"/>
    </row>
    <row r="23" spans="1:10" ht="13.5" thickBot="1">
      <c r="A23" s="173" t="s">
        <v>282</v>
      </c>
      <c r="B23" s="174"/>
      <c r="C23" s="174"/>
      <c r="D23" s="174"/>
      <c r="E23" s="175"/>
      <c r="F23" s="75" t="s">
        <v>314</v>
      </c>
      <c r="G23" s="61"/>
      <c r="H23" s="61"/>
      <c r="I23" s="58" t="str">
        <f t="shared" si="0"/>
        <v>Nejsou</v>
      </c>
      <c r="J23" s="30"/>
    </row>
    <row r="24" spans="1:10" ht="13.5" thickBot="1">
      <c r="A24" s="173" t="s">
        <v>283</v>
      </c>
      <c r="B24" s="174"/>
      <c r="C24" s="174"/>
      <c r="D24" s="174"/>
      <c r="E24" s="175"/>
      <c r="F24" s="75" t="s">
        <v>314</v>
      </c>
      <c r="G24" s="61"/>
      <c r="H24" s="61"/>
      <c r="I24" s="58" t="str">
        <f t="shared" si="0"/>
        <v>Nejsou</v>
      </c>
      <c r="J24" s="30"/>
    </row>
    <row r="25" spans="1:10" ht="13.5" thickBot="1">
      <c r="A25" s="152" t="s">
        <v>284</v>
      </c>
      <c r="B25" s="153"/>
      <c r="C25" s="153"/>
      <c r="D25" s="153"/>
      <c r="E25" s="154"/>
      <c r="F25" s="59">
        <v>0</v>
      </c>
      <c r="G25" s="62"/>
      <c r="H25" s="62"/>
      <c r="I25" s="59">
        <f t="shared" si="0"/>
        <v>0</v>
      </c>
      <c r="J25" s="30"/>
    </row>
    <row r="26" spans="1:10">
      <c r="A26" s="149" t="s">
        <v>301</v>
      </c>
      <c r="B26" s="150"/>
      <c r="C26" s="150"/>
      <c r="D26" s="150"/>
      <c r="E26" s="151"/>
      <c r="F26" s="60"/>
      <c r="G26" s="63"/>
      <c r="H26" s="63"/>
      <c r="I26" s="64">
        <f>SUM(I20:I25)</f>
        <v>0</v>
      </c>
      <c r="J26" s="31"/>
    </row>
    <row r="27" spans="1:10">
      <c r="A27" s="55"/>
      <c r="B27" s="55"/>
      <c r="C27" s="55"/>
      <c r="D27" s="55"/>
      <c r="E27" s="55"/>
      <c r="F27" s="55"/>
      <c r="G27" s="55"/>
      <c r="H27" s="55"/>
      <c r="I27" s="55"/>
    </row>
    <row r="28" spans="1:10" ht="15.2" customHeight="1" thickBot="1">
      <c r="A28" s="155" t="s">
        <v>302</v>
      </c>
      <c r="B28" s="156"/>
      <c r="C28" s="156"/>
      <c r="D28" s="156"/>
      <c r="E28" s="157"/>
      <c r="F28" s="158">
        <f>I17+I26</f>
        <v>0</v>
      </c>
      <c r="G28" s="159"/>
      <c r="H28" s="159"/>
      <c r="I28" s="160"/>
      <c r="J28" s="31"/>
    </row>
    <row r="30" spans="1:10" ht="15.2" customHeight="1">
      <c r="A30" s="161" t="s">
        <v>303</v>
      </c>
      <c r="B30" s="162"/>
      <c r="C30" s="162"/>
      <c r="D30" s="162"/>
      <c r="E30" s="162"/>
      <c r="F30" s="56"/>
      <c r="G30" s="56"/>
      <c r="H30" s="56"/>
      <c r="I30" s="56"/>
    </row>
    <row r="31" spans="1:10">
      <c r="A31" s="163" t="s">
        <v>304</v>
      </c>
      <c r="B31" s="164"/>
      <c r="C31" s="164"/>
      <c r="D31" s="164"/>
      <c r="E31" s="165"/>
      <c r="F31" s="57" t="s">
        <v>306</v>
      </c>
      <c r="G31" s="57"/>
      <c r="H31" s="57"/>
      <c r="I31" s="57" t="s">
        <v>306</v>
      </c>
      <c r="J31" s="31"/>
    </row>
    <row r="32" spans="1:10">
      <c r="A32" s="166" t="s">
        <v>308</v>
      </c>
      <c r="B32" s="167"/>
      <c r="C32" s="167"/>
      <c r="D32" s="167"/>
      <c r="E32" s="168"/>
      <c r="F32" s="87">
        <v>0</v>
      </c>
      <c r="G32" s="61"/>
      <c r="H32" s="61"/>
      <c r="I32" s="58">
        <f>F32</f>
        <v>0</v>
      </c>
      <c r="J32" s="30"/>
    </row>
    <row r="33" spans="1:10">
      <c r="A33" s="166" t="s">
        <v>309</v>
      </c>
      <c r="B33" s="167"/>
      <c r="C33" s="167"/>
      <c r="D33" s="167"/>
      <c r="E33" s="168"/>
      <c r="F33" s="87">
        <v>0</v>
      </c>
      <c r="G33" s="61"/>
      <c r="H33" s="61"/>
      <c r="I33" s="58">
        <f>F33</f>
        <v>0</v>
      </c>
      <c r="J33" s="30"/>
    </row>
    <row r="34" spans="1:10">
      <c r="A34" s="166" t="s">
        <v>310</v>
      </c>
      <c r="B34" s="167"/>
      <c r="C34" s="167"/>
      <c r="D34" s="167"/>
      <c r="E34" s="168"/>
      <c r="F34" s="87">
        <v>0</v>
      </c>
      <c r="G34" s="61"/>
      <c r="H34" s="61"/>
      <c r="I34" s="58">
        <f>F34</f>
        <v>0</v>
      </c>
      <c r="J34" s="30"/>
    </row>
    <row r="35" spans="1:10" ht="31.5" customHeight="1">
      <c r="A35" s="169" t="s">
        <v>311</v>
      </c>
      <c r="B35" s="170"/>
      <c r="C35" s="170"/>
      <c r="D35" s="170"/>
      <c r="E35" s="171"/>
      <c r="F35" s="87">
        <v>0</v>
      </c>
      <c r="G35" s="61"/>
      <c r="H35" s="61"/>
      <c r="I35" s="58">
        <f>F35</f>
        <v>0</v>
      </c>
      <c r="J35" s="30"/>
    </row>
    <row r="36" spans="1:10">
      <c r="A36" s="172" t="s">
        <v>312</v>
      </c>
      <c r="B36" s="153"/>
      <c r="C36" s="153"/>
      <c r="D36" s="153"/>
      <c r="E36" s="154"/>
      <c r="F36" s="88">
        <v>0</v>
      </c>
      <c r="G36" s="62"/>
      <c r="H36" s="62"/>
      <c r="I36" s="59">
        <f>F36</f>
        <v>0</v>
      </c>
      <c r="J36" s="30"/>
    </row>
    <row r="37" spans="1:10">
      <c r="A37" s="149" t="s">
        <v>305</v>
      </c>
      <c r="B37" s="150"/>
      <c r="C37" s="150"/>
      <c r="D37" s="150"/>
      <c r="E37" s="151"/>
      <c r="F37" s="60"/>
      <c r="G37" s="63"/>
      <c r="H37" s="63"/>
      <c r="I37" s="64">
        <f>SUM(I32:I36)</f>
        <v>0</v>
      </c>
      <c r="J37" s="31"/>
    </row>
    <row r="38" spans="1:10" ht="4.5" customHeight="1">
      <c r="A38" s="46"/>
      <c r="B38" s="46"/>
      <c r="C38" s="46"/>
      <c r="D38" s="46"/>
      <c r="E38" s="46"/>
      <c r="F38" s="46"/>
      <c r="G38" s="46"/>
      <c r="H38" s="46"/>
      <c r="I38" s="46"/>
    </row>
    <row r="39" spans="1:10" ht="5.25" customHeight="1"/>
  </sheetData>
  <sheetProtection password="CF50" sheet="1" objects="1" scenarios="1"/>
  <mergeCells count="55">
    <mergeCell ref="A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24:E24"/>
    <mergeCell ref="A12:E12"/>
    <mergeCell ref="A13:E13"/>
    <mergeCell ref="A14:E14"/>
    <mergeCell ref="A15:E15"/>
    <mergeCell ref="A16:E16"/>
    <mergeCell ref="A17:E17"/>
    <mergeCell ref="A19:E19"/>
    <mergeCell ref="A20:E20"/>
    <mergeCell ref="A21:E21"/>
    <mergeCell ref="A22:E22"/>
    <mergeCell ref="A23:E23"/>
    <mergeCell ref="A37:E37"/>
    <mergeCell ref="A25:E25"/>
    <mergeCell ref="A26:E26"/>
    <mergeCell ref="A28:E28"/>
    <mergeCell ref="F28:I28"/>
    <mergeCell ref="A30:E30"/>
    <mergeCell ref="A31:E31"/>
    <mergeCell ref="A32:E32"/>
    <mergeCell ref="A33:E33"/>
    <mergeCell ref="A34:E34"/>
    <mergeCell ref="A35:E35"/>
    <mergeCell ref="A36:E36"/>
  </mergeCells>
  <pageMargins left="0.39400000000000002" right="0.39400000000000002" top="0.59099999999999997" bottom="0.59099999999999997" header="0.5" footer="0.5"/>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Stavební soupis prací</vt:lpstr>
      <vt:lpstr>Stavební soupis prac - součet</vt:lpstr>
      <vt:lpstr>Krycí list soupisu prac</vt:lpstr>
      <vt:lpstr>VORN</vt:lpstr>
      <vt:lpstr>vorn_sum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Pisecka</cp:lastModifiedBy>
  <cp:lastPrinted>2015-09-15T06:08:04Z</cp:lastPrinted>
  <dcterms:created xsi:type="dcterms:W3CDTF">2015-09-07T19:06:49Z</dcterms:created>
  <dcterms:modified xsi:type="dcterms:W3CDTF">2015-09-15T10:28:34Z</dcterms:modified>
</cp:coreProperties>
</file>