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el\Desktop\ODKLADAČ\DĚTSKÝ DOMOV\OPRAVA STŘECHY 2024\ROZPOČET\ROZPOČET-21-2-2025\"/>
    </mc:Choice>
  </mc:AlternateContent>
  <xr:revisionPtr revIDLastSave="0" documentId="13_ncr:1_{72AC0141-3579-4074-9EBB-40FBC7480FC7}" xr6:coauthVersionLast="47" xr6:coauthVersionMax="47" xr10:uidLastSave="{00000000-0000-0000-0000-000000000000}"/>
  <bookViews>
    <workbookView xWindow="-28095" yWindow="5805" windowWidth="26730" windowHeight="14295" activeTab="2" xr2:uid="{00000000-000D-0000-FFFF-FFFF00000000}"/>
  </bookViews>
  <sheets>
    <sheet name="Krycí list rozpočtu" sheetId="2" r:id="rId1"/>
    <sheet name="Stavební rozpočet" sheetId="1" r:id="rId2"/>
    <sheet name="VV-výkaz materiálu střecha" sheetId="3" r:id="rId3"/>
  </sheets>
  <definedNames>
    <definedName name="vorn_sum">#REF!</definedName>
  </definedNames>
  <calcPr calcId="191029"/>
</workbook>
</file>

<file path=xl/calcChain.xml><?xml version="1.0" encoding="utf-8"?>
<calcChain xmlns="http://schemas.openxmlformats.org/spreadsheetml/2006/main">
  <c r="G75" i="3" l="1"/>
  <c r="G74" i="3"/>
  <c r="G73" i="3"/>
  <c r="G72" i="3"/>
  <c r="G71" i="3"/>
  <c r="G70" i="3"/>
  <c r="G61" i="3"/>
  <c r="G60" i="3"/>
  <c r="G59" i="3"/>
  <c r="G58" i="3"/>
  <c r="G63" i="3" s="1"/>
  <c r="G64" i="3" s="1"/>
  <c r="G49" i="3"/>
  <c r="G48" i="3"/>
  <c r="G47" i="3"/>
  <c r="G46" i="3"/>
  <c r="G45" i="3"/>
  <c r="G44" i="3"/>
  <c r="G43" i="3"/>
  <c r="G51" i="3" s="1"/>
  <c r="G52" i="3" s="1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G36" i="3" s="1"/>
  <c r="G37" i="3" s="1"/>
  <c r="G77" i="3" l="1"/>
  <c r="G86" i="3"/>
  <c r="G78" i="3"/>
  <c r="G87" i="3" l="1"/>
  <c r="G247" i="1"/>
  <c r="BD247" i="1" s="1"/>
  <c r="I17" i="2"/>
  <c r="I16" i="2"/>
  <c r="F16" i="2"/>
  <c r="F15" i="2"/>
  <c r="I19" i="2"/>
  <c r="I18" i="2"/>
  <c r="I15" i="2"/>
  <c r="I10" i="2"/>
  <c r="F10" i="2"/>
  <c r="C10" i="2"/>
  <c r="F8" i="2"/>
  <c r="C8" i="2"/>
  <c r="F6" i="2"/>
  <c r="C6" i="2"/>
  <c r="F4" i="2"/>
  <c r="C4" i="2"/>
  <c r="F2" i="2"/>
  <c r="C2" i="2"/>
  <c r="BU269" i="1"/>
  <c r="BJ269" i="1"/>
  <c r="BI269" i="1"/>
  <c r="BF269" i="1"/>
  <c r="BD269" i="1"/>
  <c r="AX269" i="1"/>
  <c r="AW269" i="1"/>
  <c r="BC269" i="1" s="1"/>
  <c r="AP269" i="1"/>
  <c r="AO269" i="1"/>
  <c r="BH269" i="1" s="1"/>
  <c r="AL269" i="1"/>
  <c r="AU268" i="1" s="1"/>
  <c r="AK269" i="1"/>
  <c r="AT268" i="1" s="1"/>
  <c r="AJ269" i="1"/>
  <c r="AS268" i="1" s="1"/>
  <c r="AH269" i="1"/>
  <c r="AG269" i="1"/>
  <c r="AF269" i="1"/>
  <c r="AE269" i="1"/>
  <c r="AD269" i="1"/>
  <c r="AC269" i="1"/>
  <c r="AB269" i="1"/>
  <c r="Z269" i="1"/>
  <c r="J269" i="1"/>
  <c r="I269" i="1"/>
  <c r="I268" i="1" s="1"/>
  <c r="J268" i="1"/>
  <c r="BR267" i="1"/>
  <c r="BJ267" i="1"/>
  <c r="BI267" i="1"/>
  <c r="BH267" i="1"/>
  <c r="BF267" i="1"/>
  <c r="BD267" i="1"/>
  <c r="AP267" i="1"/>
  <c r="AO267" i="1"/>
  <c r="H267" i="1" s="1"/>
  <c r="AL267" i="1"/>
  <c r="AJ267" i="1"/>
  <c r="AH267" i="1"/>
  <c r="AG267" i="1"/>
  <c r="AF267" i="1"/>
  <c r="AE267" i="1"/>
  <c r="AD267" i="1"/>
  <c r="AC267" i="1"/>
  <c r="AB267" i="1"/>
  <c r="Z267" i="1"/>
  <c r="J267" i="1"/>
  <c r="AK267" i="1" s="1"/>
  <c r="BR266" i="1"/>
  <c r="BJ266" i="1"/>
  <c r="BF266" i="1"/>
  <c r="BD266" i="1"/>
  <c r="AW266" i="1"/>
  <c r="AP266" i="1"/>
  <c r="AO266" i="1"/>
  <c r="AL266" i="1"/>
  <c r="AK266" i="1"/>
  <c r="AT265" i="1" s="1"/>
  <c r="AJ266" i="1"/>
  <c r="AH266" i="1"/>
  <c r="AG266" i="1"/>
  <c r="AF266" i="1"/>
  <c r="AE266" i="1"/>
  <c r="AD266" i="1"/>
  <c r="AC266" i="1"/>
  <c r="AB266" i="1"/>
  <c r="Z266" i="1"/>
  <c r="J266" i="1"/>
  <c r="AU265" i="1"/>
  <c r="AS265" i="1"/>
  <c r="J265" i="1"/>
  <c r="BQ263" i="1"/>
  <c r="BJ263" i="1"/>
  <c r="BI263" i="1"/>
  <c r="BH263" i="1"/>
  <c r="BF263" i="1"/>
  <c r="BD263" i="1"/>
  <c r="AW263" i="1"/>
  <c r="AP263" i="1"/>
  <c r="AX263" i="1" s="1"/>
  <c r="AO263" i="1"/>
  <c r="AL263" i="1"/>
  <c r="AU262" i="1" s="1"/>
  <c r="AJ263" i="1"/>
  <c r="AH263" i="1"/>
  <c r="AG263" i="1"/>
  <c r="AF263" i="1"/>
  <c r="AE263" i="1"/>
  <c r="AD263" i="1"/>
  <c r="AC263" i="1"/>
  <c r="AB263" i="1"/>
  <c r="Z263" i="1"/>
  <c r="J263" i="1"/>
  <c r="I263" i="1"/>
  <c r="I262" i="1" s="1"/>
  <c r="H263" i="1"/>
  <c r="H262" i="1" s="1"/>
  <c r="AS262" i="1"/>
  <c r="BO261" i="1"/>
  <c r="BJ261" i="1"/>
  <c r="BI261" i="1"/>
  <c r="BF261" i="1"/>
  <c r="BD261" i="1"/>
  <c r="AW261" i="1"/>
  <c r="AP261" i="1"/>
  <c r="AX261" i="1" s="1"/>
  <c r="BC261" i="1" s="1"/>
  <c r="AO261" i="1"/>
  <c r="BH261" i="1" s="1"/>
  <c r="AL261" i="1"/>
  <c r="AK261" i="1"/>
  <c r="AJ261" i="1"/>
  <c r="AH261" i="1"/>
  <c r="AG261" i="1"/>
  <c r="AF261" i="1"/>
  <c r="AE261" i="1"/>
  <c r="AD261" i="1"/>
  <c r="AC261" i="1"/>
  <c r="AB261" i="1"/>
  <c r="Z261" i="1"/>
  <c r="J261" i="1"/>
  <c r="I261" i="1"/>
  <c r="H261" i="1"/>
  <c r="BO260" i="1"/>
  <c r="BJ260" i="1"/>
  <c r="BF260" i="1"/>
  <c r="BD260" i="1"/>
  <c r="AX260" i="1"/>
  <c r="AP260" i="1"/>
  <c r="BI260" i="1" s="1"/>
  <c r="AO260" i="1"/>
  <c r="AW260" i="1" s="1"/>
  <c r="AL260" i="1"/>
  <c r="AJ260" i="1"/>
  <c r="AH260" i="1"/>
  <c r="AG260" i="1"/>
  <c r="AF260" i="1"/>
  <c r="AE260" i="1"/>
  <c r="AD260" i="1"/>
  <c r="AC260" i="1"/>
  <c r="AB260" i="1"/>
  <c r="Z260" i="1"/>
  <c r="J260" i="1"/>
  <c r="AK260" i="1" s="1"/>
  <c r="I260" i="1"/>
  <c r="H260" i="1"/>
  <c r="BO259" i="1"/>
  <c r="BJ259" i="1"/>
  <c r="BF259" i="1"/>
  <c r="BD259" i="1"/>
  <c r="AW259" i="1"/>
  <c r="AP259" i="1"/>
  <c r="AO259" i="1"/>
  <c r="BH259" i="1" s="1"/>
  <c r="AL259" i="1"/>
  <c r="AU258" i="1" s="1"/>
  <c r="AK259" i="1"/>
  <c r="AJ259" i="1"/>
  <c r="AS258" i="1" s="1"/>
  <c r="AH259" i="1"/>
  <c r="AG259" i="1"/>
  <c r="AF259" i="1"/>
  <c r="AE259" i="1"/>
  <c r="AD259" i="1"/>
  <c r="AC259" i="1"/>
  <c r="AB259" i="1"/>
  <c r="Z259" i="1"/>
  <c r="J259" i="1"/>
  <c r="I259" i="1"/>
  <c r="I258" i="1" s="1"/>
  <c r="H259" i="1"/>
  <c r="BN257" i="1"/>
  <c r="BJ257" i="1"/>
  <c r="BI257" i="1"/>
  <c r="BH257" i="1"/>
  <c r="BF257" i="1"/>
  <c r="BD257" i="1"/>
  <c r="BC257" i="1"/>
  <c r="AX257" i="1"/>
  <c r="AW257" i="1"/>
  <c r="AV257" i="1"/>
  <c r="AP257" i="1"/>
  <c r="AO257" i="1"/>
  <c r="AL257" i="1"/>
  <c r="AU256" i="1" s="1"/>
  <c r="AJ257" i="1"/>
  <c r="AH257" i="1"/>
  <c r="AG257" i="1"/>
  <c r="AF257" i="1"/>
  <c r="AE257" i="1"/>
  <c r="AD257" i="1"/>
  <c r="AC257" i="1"/>
  <c r="AB257" i="1"/>
  <c r="Z257" i="1"/>
  <c r="J257" i="1"/>
  <c r="AK257" i="1" s="1"/>
  <c r="I257" i="1"/>
  <c r="I256" i="1" s="1"/>
  <c r="H257" i="1"/>
  <c r="H256" i="1" s="1"/>
  <c r="AT256" i="1"/>
  <c r="AS256" i="1"/>
  <c r="J256" i="1"/>
  <c r="BJ253" i="1"/>
  <c r="BI253" i="1"/>
  <c r="BF253" i="1"/>
  <c r="BD253" i="1"/>
  <c r="BC253" i="1"/>
  <c r="AX253" i="1"/>
  <c r="AW253" i="1"/>
  <c r="AV253" i="1" s="1"/>
  <c r="AP253" i="1"/>
  <c r="AO253" i="1"/>
  <c r="BH253" i="1" s="1"/>
  <c r="AL253" i="1"/>
  <c r="AK253" i="1"/>
  <c r="AJ253" i="1"/>
  <c r="AH253" i="1"/>
  <c r="AG253" i="1"/>
  <c r="AF253" i="1"/>
  <c r="AE253" i="1"/>
  <c r="AD253" i="1"/>
  <c r="AC253" i="1"/>
  <c r="AB253" i="1"/>
  <c r="Z253" i="1"/>
  <c r="J253" i="1"/>
  <c r="I253" i="1"/>
  <c r="BJ252" i="1"/>
  <c r="AH252" i="1" s="1"/>
  <c r="BI252" i="1"/>
  <c r="BH252" i="1"/>
  <c r="BF252" i="1"/>
  <c r="BD252" i="1"/>
  <c r="AW252" i="1"/>
  <c r="AP252" i="1"/>
  <c r="AX252" i="1" s="1"/>
  <c r="AO252" i="1"/>
  <c r="AL252" i="1"/>
  <c r="AJ252" i="1"/>
  <c r="AG252" i="1"/>
  <c r="AF252" i="1"/>
  <c r="AE252" i="1"/>
  <c r="AD252" i="1"/>
  <c r="AC252" i="1"/>
  <c r="AB252" i="1"/>
  <c r="Z252" i="1"/>
  <c r="J252" i="1"/>
  <c r="AK252" i="1" s="1"/>
  <c r="I252" i="1"/>
  <c r="H252" i="1"/>
  <c r="BJ250" i="1"/>
  <c r="AH250" i="1" s="1"/>
  <c r="BI250" i="1"/>
  <c r="BH250" i="1"/>
  <c r="BF250" i="1"/>
  <c r="BD250" i="1"/>
  <c r="AW250" i="1"/>
  <c r="AP250" i="1"/>
  <c r="AX250" i="1" s="1"/>
  <c r="AO250" i="1"/>
  <c r="AL250" i="1"/>
  <c r="AJ250" i="1"/>
  <c r="AG250" i="1"/>
  <c r="AF250" i="1"/>
  <c r="AE250" i="1"/>
  <c r="AD250" i="1"/>
  <c r="AC250" i="1"/>
  <c r="AB250" i="1"/>
  <c r="Z250" i="1"/>
  <c r="J250" i="1"/>
  <c r="AK250" i="1" s="1"/>
  <c r="I250" i="1"/>
  <c r="H250" i="1"/>
  <c r="BJ248" i="1"/>
  <c r="BF248" i="1"/>
  <c r="BD248" i="1"/>
  <c r="AX248" i="1"/>
  <c r="AP248" i="1"/>
  <c r="BI248" i="1" s="1"/>
  <c r="AO248" i="1"/>
  <c r="AL248" i="1"/>
  <c r="AJ248" i="1"/>
  <c r="AH248" i="1"/>
  <c r="AG248" i="1"/>
  <c r="AF248" i="1"/>
  <c r="AE248" i="1"/>
  <c r="AD248" i="1"/>
  <c r="AC248" i="1"/>
  <c r="AB248" i="1"/>
  <c r="Z248" i="1"/>
  <c r="J248" i="1"/>
  <c r="AK248" i="1" s="1"/>
  <c r="I248" i="1"/>
  <c r="BJ247" i="1"/>
  <c r="AH247" i="1" s="1"/>
  <c r="BF247" i="1"/>
  <c r="AL247" i="1"/>
  <c r="AJ247" i="1"/>
  <c r="AS246" i="1" s="1"/>
  <c r="AG247" i="1"/>
  <c r="AF247" i="1"/>
  <c r="AE247" i="1"/>
  <c r="AD247" i="1"/>
  <c r="AC247" i="1"/>
  <c r="AB247" i="1"/>
  <c r="Z247" i="1"/>
  <c r="J247" i="1"/>
  <c r="AK247" i="1" s="1"/>
  <c r="BJ244" i="1"/>
  <c r="BI244" i="1"/>
  <c r="BH244" i="1"/>
  <c r="BF244" i="1"/>
  <c r="BD244" i="1"/>
  <c r="AX244" i="1"/>
  <c r="AP244" i="1"/>
  <c r="AO244" i="1"/>
  <c r="AL244" i="1"/>
  <c r="AJ244" i="1"/>
  <c r="AH244" i="1"/>
  <c r="AG244" i="1"/>
  <c r="AF244" i="1"/>
  <c r="AE244" i="1"/>
  <c r="AD244" i="1"/>
  <c r="AC244" i="1"/>
  <c r="AB244" i="1"/>
  <c r="Z244" i="1"/>
  <c r="J244" i="1"/>
  <c r="AK244" i="1" s="1"/>
  <c r="I244" i="1"/>
  <c r="BJ243" i="1"/>
  <c r="BI243" i="1"/>
  <c r="BF243" i="1"/>
  <c r="BD243" i="1"/>
  <c r="AP243" i="1"/>
  <c r="AO243" i="1"/>
  <c r="AL243" i="1"/>
  <c r="AK243" i="1"/>
  <c r="AJ243" i="1"/>
  <c r="AH243" i="1"/>
  <c r="AG243" i="1"/>
  <c r="AF243" i="1"/>
  <c r="AE243" i="1"/>
  <c r="AD243" i="1"/>
  <c r="AC243" i="1"/>
  <c r="AB243" i="1"/>
  <c r="Z243" i="1"/>
  <c r="J243" i="1"/>
  <c r="BJ242" i="1"/>
  <c r="Z242" i="1" s="1"/>
  <c r="BH242" i="1"/>
  <c r="BF242" i="1"/>
  <c r="BD242" i="1"/>
  <c r="AX242" i="1"/>
  <c r="AP242" i="1"/>
  <c r="BI242" i="1" s="1"/>
  <c r="AO242" i="1"/>
  <c r="AW242" i="1" s="1"/>
  <c r="AL242" i="1"/>
  <c r="AJ242" i="1"/>
  <c r="AH242" i="1"/>
  <c r="AG242" i="1"/>
  <c r="AF242" i="1"/>
  <c r="AE242" i="1"/>
  <c r="AD242" i="1"/>
  <c r="AC242" i="1"/>
  <c r="AB242" i="1"/>
  <c r="J242" i="1"/>
  <c r="AK242" i="1" s="1"/>
  <c r="H242" i="1"/>
  <c r="BJ240" i="1"/>
  <c r="Z240" i="1" s="1"/>
  <c r="BI240" i="1"/>
  <c r="BH240" i="1"/>
  <c r="BF240" i="1"/>
  <c r="BD240" i="1"/>
  <c r="AX240" i="1"/>
  <c r="BC240" i="1" s="1"/>
  <c r="AW240" i="1"/>
  <c r="AP240" i="1"/>
  <c r="AO240" i="1"/>
  <c r="AL240" i="1"/>
  <c r="AJ240" i="1"/>
  <c r="AH240" i="1"/>
  <c r="AG240" i="1"/>
  <c r="AF240" i="1"/>
  <c r="AE240" i="1"/>
  <c r="AD240" i="1"/>
  <c r="AC240" i="1"/>
  <c r="AB240" i="1"/>
  <c r="J240" i="1"/>
  <c r="AK240" i="1" s="1"/>
  <c r="I240" i="1"/>
  <c r="H240" i="1"/>
  <c r="BJ239" i="1"/>
  <c r="Z239" i="1" s="1"/>
  <c r="BI239" i="1"/>
  <c r="BH239" i="1"/>
  <c r="BF239" i="1"/>
  <c r="BD239" i="1"/>
  <c r="AX239" i="1"/>
  <c r="AP239" i="1"/>
  <c r="AO239" i="1"/>
  <c r="AL239" i="1"/>
  <c r="AJ239" i="1"/>
  <c r="AH239" i="1"/>
  <c r="AG239" i="1"/>
  <c r="AF239" i="1"/>
  <c r="AE239" i="1"/>
  <c r="AD239" i="1"/>
  <c r="AC239" i="1"/>
  <c r="AB239" i="1"/>
  <c r="J239" i="1"/>
  <c r="AK239" i="1" s="1"/>
  <c r="I239" i="1"/>
  <c r="BJ238" i="1"/>
  <c r="BI238" i="1"/>
  <c r="BF238" i="1"/>
  <c r="BD238" i="1"/>
  <c r="AW238" i="1"/>
  <c r="AP238" i="1"/>
  <c r="AO238" i="1"/>
  <c r="AL238" i="1"/>
  <c r="AK238" i="1"/>
  <c r="AJ238" i="1"/>
  <c r="AH238" i="1"/>
  <c r="AG238" i="1"/>
  <c r="AF238" i="1"/>
  <c r="AE238" i="1"/>
  <c r="AD238" i="1"/>
  <c r="AC238" i="1"/>
  <c r="AB238" i="1"/>
  <c r="Z238" i="1"/>
  <c r="J238" i="1"/>
  <c r="BJ236" i="1"/>
  <c r="Z236" i="1" s="1"/>
  <c r="BH236" i="1"/>
  <c r="BF236" i="1"/>
  <c r="BD236" i="1"/>
  <c r="AX236" i="1"/>
  <c r="AP236" i="1"/>
  <c r="BI236" i="1" s="1"/>
  <c r="AO236" i="1"/>
  <c r="AW236" i="1" s="1"/>
  <c r="AL236" i="1"/>
  <c r="AJ236" i="1"/>
  <c r="AH236" i="1"/>
  <c r="AG236" i="1"/>
  <c r="AF236" i="1"/>
  <c r="AE236" i="1"/>
  <c r="AD236" i="1"/>
  <c r="AC236" i="1"/>
  <c r="AB236" i="1"/>
  <c r="J236" i="1"/>
  <c r="AK236" i="1" s="1"/>
  <c r="H236" i="1"/>
  <c r="BJ234" i="1"/>
  <c r="Z234" i="1" s="1"/>
  <c r="BI234" i="1"/>
  <c r="BH234" i="1"/>
  <c r="BF234" i="1"/>
  <c r="BD234" i="1"/>
  <c r="AX234" i="1"/>
  <c r="AW234" i="1"/>
  <c r="BC234" i="1" s="1"/>
  <c r="AV234" i="1"/>
  <c r="AP234" i="1"/>
  <c r="AO234" i="1"/>
  <c r="AL234" i="1"/>
  <c r="AJ234" i="1"/>
  <c r="AH234" i="1"/>
  <c r="AG234" i="1"/>
  <c r="AF234" i="1"/>
  <c r="AE234" i="1"/>
  <c r="AD234" i="1"/>
  <c r="AC234" i="1"/>
  <c r="AB234" i="1"/>
  <c r="J234" i="1"/>
  <c r="I234" i="1"/>
  <c r="H234" i="1"/>
  <c r="BJ233" i="1"/>
  <c r="Z233" i="1" s="1"/>
  <c r="BI233" i="1"/>
  <c r="BF233" i="1"/>
  <c r="BD233" i="1"/>
  <c r="AX233" i="1"/>
  <c r="AP233" i="1"/>
  <c r="AO233" i="1"/>
  <c r="AL233" i="1"/>
  <c r="AK233" i="1"/>
  <c r="AJ233" i="1"/>
  <c r="AH233" i="1"/>
  <c r="AG233" i="1"/>
  <c r="AF233" i="1"/>
  <c r="AE233" i="1"/>
  <c r="AD233" i="1"/>
  <c r="AC233" i="1"/>
  <c r="AB233" i="1"/>
  <c r="J233" i="1"/>
  <c r="I233" i="1"/>
  <c r="BJ230" i="1"/>
  <c r="BF230" i="1"/>
  <c r="BD230" i="1"/>
  <c r="AP230" i="1"/>
  <c r="AO230" i="1"/>
  <c r="AL230" i="1"/>
  <c r="AK230" i="1"/>
  <c r="AJ230" i="1"/>
  <c r="AH230" i="1"/>
  <c r="AG230" i="1"/>
  <c r="AF230" i="1"/>
  <c r="AE230" i="1"/>
  <c r="AD230" i="1"/>
  <c r="AC230" i="1"/>
  <c r="AB230" i="1"/>
  <c r="Z230" i="1"/>
  <c r="J230" i="1"/>
  <c r="BJ228" i="1"/>
  <c r="Z228" i="1" s="1"/>
  <c r="BF228" i="1"/>
  <c r="BD228" i="1"/>
  <c r="AX228" i="1"/>
  <c r="AP228" i="1"/>
  <c r="BI228" i="1" s="1"/>
  <c r="AO228" i="1"/>
  <c r="AW228" i="1" s="1"/>
  <c r="AL228" i="1"/>
  <c r="AU227" i="1" s="1"/>
  <c r="AK228" i="1"/>
  <c r="AJ228" i="1"/>
  <c r="AS227" i="1" s="1"/>
  <c r="AH228" i="1"/>
  <c r="AG228" i="1"/>
  <c r="AF228" i="1"/>
  <c r="AE228" i="1"/>
  <c r="AD228" i="1"/>
  <c r="AC228" i="1"/>
  <c r="AB228" i="1"/>
  <c r="J228" i="1"/>
  <c r="BJ226" i="1"/>
  <c r="BH226" i="1"/>
  <c r="AF226" i="1" s="1"/>
  <c r="BF226" i="1"/>
  <c r="BD226" i="1"/>
  <c r="AP226" i="1"/>
  <c r="AO226" i="1"/>
  <c r="H226" i="1" s="1"/>
  <c r="AL226" i="1"/>
  <c r="AJ226" i="1"/>
  <c r="AH226" i="1"/>
  <c r="AE226" i="1"/>
  <c r="AD226" i="1"/>
  <c r="AC226" i="1"/>
  <c r="AB226" i="1"/>
  <c r="Z226" i="1"/>
  <c r="J226" i="1"/>
  <c r="AK226" i="1" s="1"/>
  <c r="BJ225" i="1"/>
  <c r="BF225" i="1"/>
  <c r="BD225" i="1"/>
  <c r="AX225" i="1"/>
  <c r="AP225" i="1"/>
  <c r="AO225" i="1"/>
  <c r="AL225" i="1"/>
  <c r="AK225" i="1"/>
  <c r="AJ225" i="1"/>
  <c r="AH225" i="1"/>
  <c r="AE225" i="1"/>
  <c r="AD225" i="1"/>
  <c r="AC225" i="1"/>
  <c r="AB225" i="1"/>
  <c r="Z225" i="1"/>
  <c r="J225" i="1"/>
  <c r="BJ224" i="1"/>
  <c r="BI224" i="1"/>
  <c r="AG224" i="1" s="1"/>
  <c r="BF224" i="1"/>
  <c r="BD224" i="1"/>
  <c r="AW224" i="1"/>
  <c r="AP224" i="1"/>
  <c r="AX224" i="1" s="1"/>
  <c r="AO224" i="1"/>
  <c r="BH224" i="1" s="1"/>
  <c r="AF224" i="1" s="1"/>
  <c r="AL224" i="1"/>
  <c r="AK224" i="1"/>
  <c r="AJ224" i="1"/>
  <c r="AH224" i="1"/>
  <c r="AE224" i="1"/>
  <c r="AD224" i="1"/>
  <c r="AC224" i="1"/>
  <c r="AB224" i="1"/>
  <c r="Z224" i="1"/>
  <c r="J224" i="1"/>
  <c r="I224" i="1"/>
  <c r="H224" i="1"/>
  <c r="BJ223" i="1"/>
  <c r="BI223" i="1"/>
  <c r="AG223" i="1" s="1"/>
  <c r="BH223" i="1"/>
  <c r="AF223" i="1" s="1"/>
  <c r="BF223" i="1"/>
  <c r="BD223" i="1"/>
  <c r="AX223" i="1"/>
  <c r="BC223" i="1" s="1"/>
  <c r="AW223" i="1"/>
  <c r="AP223" i="1"/>
  <c r="AO223" i="1"/>
  <c r="AL223" i="1"/>
  <c r="AJ223" i="1"/>
  <c r="AH223" i="1"/>
  <c r="AE223" i="1"/>
  <c r="AD223" i="1"/>
  <c r="AC223" i="1"/>
  <c r="AB223" i="1"/>
  <c r="Z223" i="1"/>
  <c r="J223" i="1"/>
  <c r="AK223" i="1" s="1"/>
  <c r="I223" i="1"/>
  <c r="H223" i="1"/>
  <c r="BJ222" i="1"/>
  <c r="BH222" i="1"/>
  <c r="AF222" i="1" s="1"/>
  <c r="BF222" i="1"/>
  <c r="BD222" i="1"/>
  <c r="AP222" i="1"/>
  <c r="AO222" i="1"/>
  <c r="H222" i="1" s="1"/>
  <c r="AL222" i="1"/>
  <c r="AJ222" i="1"/>
  <c r="AH222" i="1"/>
  <c r="AE222" i="1"/>
  <c r="AD222" i="1"/>
  <c r="AC222" i="1"/>
  <c r="AB222" i="1"/>
  <c r="Z222" i="1"/>
  <c r="J222" i="1"/>
  <c r="AK222" i="1" s="1"/>
  <c r="BJ221" i="1"/>
  <c r="BF221" i="1"/>
  <c r="BD221" i="1"/>
  <c r="AX221" i="1"/>
  <c r="AP221" i="1"/>
  <c r="AO221" i="1"/>
  <c r="AL221" i="1"/>
  <c r="AK221" i="1"/>
  <c r="AJ221" i="1"/>
  <c r="AH221" i="1"/>
  <c r="AE221" i="1"/>
  <c r="AD221" i="1"/>
  <c r="AC221" i="1"/>
  <c r="AB221" i="1"/>
  <c r="Z221" i="1"/>
  <c r="J221" i="1"/>
  <c r="H221" i="1"/>
  <c r="BJ220" i="1"/>
  <c r="BI220" i="1"/>
  <c r="AG220" i="1" s="1"/>
  <c r="BF220" i="1"/>
  <c r="BD220" i="1"/>
  <c r="BC220" i="1"/>
  <c r="AX220" i="1"/>
  <c r="AW220" i="1"/>
  <c r="AV220" i="1" s="1"/>
  <c r="AP220" i="1"/>
  <c r="AO220" i="1"/>
  <c r="BH220" i="1" s="1"/>
  <c r="AF220" i="1" s="1"/>
  <c r="AL220" i="1"/>
  <c r="AK220" i="1"/>
  <c r="AJ220" i="1"/>
  <c r="AH220" i="1"/>
  <c r="AE220" i="1"/>
  <c r="AD220" i="1"/>
  <c r="AC220" i="1"/>
  <c r="AB220" i="1"/>
  <c r="Z220" i="1"/>
  <c r="J220" i="1"/>
  <c r="I220" i="1"/>
  <c r="H220" i="1"/>
  <c r="BJ219" i="1"/>
  <c r="BI219" i="1"/>
  <c r="AG219" i="1" s="1"/>
  <c r="BH219" i="1"/>
  <c r="AF219" i="1" s="1"/>
  <c r="BF219" i="1"/>
  <c r="BD219" i="1"/>
  <c r="BC219" i="1"/>
  <c r="AX219" i="1"/>
  <c r="AW219" i="1"/>
  <c r="AV219" i="1" s="1"/>
  <c r="AP219" i="1"/>
  <c r="AO219" i="1"/>
  <c r="AL219" i="1"/>
  <c r="AJ219" i="1"/>
  <c r="AH219" i="1"/>
  <c r="AE219" i="1"/>
  <c r="AD219" i="1"/>
  <c r="AC219" i="1"/>
  <c r="AB219" i="1"/>
  <c r="Z219" i="1"/>
  <c r="J219" i="1"/>
  <c r="AK219" i="1" s="1"/>
  <c r="I219" i="1"/>
  <c r="H219" i="1"/>
  <c r="BJ218" i="1"/>
  <c r="BI218" i="1"/>
  <c r="AG218" i="1" s="1"/>
  <c r="BH218" i="1"/>
  <c r="AF218" i="1" s="1"/>
  <c r="BF218" i="1"/>
  <c r="BD218" i="1"/>
  <c r="AP218" i="1"/>
  <c r="AO218" i="1"/>
  <c r="H218" i="1" s="1"/>
  <c r="AL218" i="1"/>
  <c r="AJ218" i="1"/>
  <c r="AH218" i="1"/>
  <c r="AE218" i="1"/>
  <c r="AD218" i="1"/>
  <c r="AC218" i="1"/>
  <c r="AB218" i="1"/>
  <c r="Z218" i="1"/>
  <c r="J218" i="1"/>
  <c r="AK218" i="1" s="1"/>
  <c r="BJ217" i="1"/>
  <c r="BF217" i="1"/>
  <c r="BD217" i="1"/>
  <c r="AX217" i="1"/>
  <c r="AP217" i="1"/>
  <c r="AO217" i="1"/>
  <c r="AL217" i="1"/>
  <c r="AK217" i="1"/>
  <c r="AJ217" i="1"/>
  <c r="AH217" i="1"/>
  <c r="AE217" i="1"/>
  <c r="AD217" i="1"/>
  <c r="AC217" i="1"/>
  <c r="AB217" i="1"/>
  <c r="Z217" i="1"/>
  <c r="J217" i="1"/>
  <c r="H217" i="1"/>
  <c r="BJ216" i="1"/>
  <c r="BI216" i="1"/>
  <c r="AG216" i="1" s="1"/>
  <c r="BF216" i="1"/>
  <c r="BD216" i="1"/>
  <c r="BC216" i="1"/>
  <c r="AW216" i="1"/>
  <c r="AP216" i="1"/>
  <c r="AX216" i="1" s="1"/>
  <c r="AO216" i="1"/>
  <c r="BH216" i="1" s="1"/>
  <c r="AF216" i="1" s="1"/>
  <c r="AL216" i="1"/>
  <c r="AK216" i="1"/>
  <c r="AJ216" i="1"/>
  <c r="AH216" i="1"/>
  <c r="AE216" i="1"/>
  <c r="AD216" i="1"/>
  <c r="AC216" i="1"/>
  <c r="AB216" i="1"/>
  <c r="Z216" i="1"/>
  <c r="J216" i="1"/>
  <c r="I216" i="1"/>
  <c r="H216" i="1"/>
  <c r="BJ215" i="1"/>
  <c r="BI215" i="1"/>
  <c r="AG215" i="1" s="1"/>
  <c r="BH215" i="1"/>
  <c r="AF215" i="1" s="1"/>
  <c r="BF215" i="1"/>
  <c r="BD215" i="1"/>
  <c r="AX215" i="1"/>
  <c r="AP215" i="1"/>
  <c r="AO215" i="1"/>
  <c r="AW215" i="1" s="1"/>
  <c r="AL215" i="1"/>
  <c r="AJ215" i="1"/>
  <c r="AH215" i="1"/>
  <c r="AE215" i="1"/>
  <c r="AD215" i="1"/>
  <c r="AC215" i="1"/>
  <c r="AB215" i="1"/>
  <c r="Z215" i="1"/>
  <c r="J215" i="1"/>
  <c r="AK215" i="1" s="1"/>
  <c r="I215" i="1"/>
  <c r="H215" i="1"/>
  <c r="BJ213" i="1"/>
  <c r="BH213" i="1"/>
  <c r="BF213" i="1"/>
  <c r="BD213" i="1"/>
  <c r="AP213" i="1"/>
  <c r="AO213" i="1"/>
  <c r="H213" i="1" s="1"/>
  <c r="AL213" i="1"/>
  <c r="AJ213" i="1"/>
  <c r="AH213" i="1"/>
  <c r="AF213" i="1"/>
  <c r="AE213" i="1"/>
  <c r="AD213" i="1"/>
  <c r="AC213" i="1"/>
  <c r="AB213" i="1"/>
  <c r="Z213" i="1"/>
  <c r="J213" i="1"/>
  <c r="AK213" i="1" s="1"/>
  <c r="BJ211" i="1"/>
  <c r="BF211" i="1"/>
  <c r="BD211" i="1"/>
  <c r="AP211" i="1"/>
  <c r="I211" i="1" s="1"/>
  <c r="AO211" i="1"/>
  <c r="AL211" i="1"/>
  <c r="AK211" i="1"/>
  <c r="AJ211" i="1"/>
  <c r="AH211" i="1"/>
  <c r="AE211" i="1"/>
  <c r="AD211" i="1"/>
  <c r="AC211" i="1"/>
  <c r="AB211" i="1"/>
  <c r="Z211" i="1"/>
  <c r="J211" i="1"/>
  <c r="BJ209" i="1"/>
  <c r="BF209" i="1"/>
  <c r="BD209" i="1"/>
  <c r="AW209" i="1"/>
  <c r="AP209" i="1"/>
  <c r="AO209" i="1"/>
  <c r="BH209" i="1" s="1"/>
  <c r="AL209" i="1"/>
  <c r="AK209" i="1"/>
  <c r="AJ209" i="1"/>
  <c r="AH209" i="1"/>
  <c r="AF209" i="1"/>
  <c r="AE209" i="1"/>
  <c r="AD209" i="1"/>
  <c r="AC209" i="1"/>
  <c r="AB209" i="1"/>
  <c r="Z209" i="1"/>
  <c r="J209" i="1"/>
  <c r="BJ207" i="1"/>
  <c r="BI207" i="1"/>
  <c r="AG207" i="1" s="1"/>
  <c r="BF207" i="1"/>
  <c r="BD207" i="1"/>
  <c r="AX207" i="1"/>
  <c r="AP207" i="1"/>
  <c r="AO207" i="1"/>
  <c r="AL207" i="1"/>
  <c r="AJ207" i="1"/>
  <c r="AH207" i="1"/>
  <c r="AE207" i="1"/>
  <c r="AD207" i="1"/>
  <c r="AC207" i="1"/>
  <c r="AB207" i="1"/>
  <c r="Z207" i="1"/>
  <c r="J207" i="1"/>
  <c r="AK207" i="1" s="1"/>
  <c r="I207" i="1"/>
  <c r="BJ205" i="1"/>
  <c r="BH205" i="1"/>
  <c r="AF205" i="1" s="1"/>
  <c r="BF205" i="1"/>
  <c r="BD205" i="1"/>
  <c r="AP205" i="1"/>
  <c r="I205" i="1" s="1"/>
  <c r="AO205" i="1"/>
  <c r="H205" i="1" s="1"/>
  <c r="AL205" i="1"/>
  <c r="AJ205" i="1"/>
  <c r="AH205" i="1"/>
  <c r="AE205" i="1"/>
  <c r="AD205" i="1"/>
  <c r="AC205" i="1"/>
  <c r="AB205" i="1"/>
  <c r="Z205" i="1"/>
  <c r="J205" i="1"/>
  <c r="AK205" i="1" s="1"/>
  <c r="BJ203" i="1"/>
  <c r="BF203" i="1"/>
  <c r="BD203" i="1"/>
  <c r="AX203" i="1"/>
  <c r="AP203" i="1"/>
  <c r="I203" i="1" s="1"/>
  <c r="AO203" i="1"/>
  <c r="AL203" i="1"/>
  <c r="AK203" i="1"/>
  <c r="AJ203" i="1"/>
  <c r="AS193" i="1" s="1"/>
  <c r="AH203" i="1"/>
  <c r="AE203" i="1"/>
  <c r="AD203" i="1"/>
  <c r="AC203" i="1"/>
  <c r="AB203" i="1"/>
  <c r="Z203" i="1"/>
  <c r="J203" i="1"/>
  <c r="BJ201" i="1"/>
  <c r="BF201" i="1"/>
  <c r="BD201" i="1"/>
  <c r="AP201" i="1"/>
  <c r="I201" i="1" s="1"/>
  <c r="AO201" i="1"/>
  <c r="BH201" i="1" s="1"/>
  <c r="AF201" i="1" s="1"/>
  <c r="AL201" i="1"/>
  <c r="AK201" i="1"/>
  <c r="AJ201" i="1"/>
  <c r="AH201" i="1"/>
  <c r="AE201" i="1"/>
  <c r="AD201" i="1"/>
  <c r="AC201" i="1"/>
  <c r="AB201" i="1"/>
  <c r="Z201" i="1"/>
  <c r="J201" i="1"/>
  <c r="BJ199" i="1"/>
  <c r="BI199" i="1"/>
  <c r="AG199" i="1" s="1"/>
  <c r="BF199" i="1"/>
  <c r="BD199" i="1"/>
  <c r="AX199" i="1"/>
  <c r="AP199" i="1"/>
  <c r="AO199" i="1"/>
  <c r="BH199" i="1" s="1"/>
  <c r="AF199" i="1" s="1"/>
  <c r="AL199" i="1"/>
  <c r="AJ199" i="1"/>
  <c r="AH199" i="1"/>
  <c r="AE199" i="1"/>
  <c r="AD199" i="1"/>
  <c r="AC199" i="1"/>
  <c r="AB199" i="1"/>
  <c r="Z199" i="1"/>
  <c r="J199" i="1"/>
  <c r="AK199" i="1" s="1"/>
  <c r="I199" i="1"/>
  <c r="BJ198" i="1"/>
  <c r="BH198" i="1"/>
  <c r="AF198" i="1" s="1"/>
  <c r="BF198" i="1"/>
  <c r="BD198" i="1"/>
  <c r="AP198" i="1"/>
  <c r="I198" i="1" s="1"/>
  <c r="AO198" i="1"/>
  <c r="H198" i="1" s="1"/>
  <c r="AL198" i="1"/>
  <c r="AJ198" i="1"/>
  <c r="AH198" i="1"/>
  <c r="AE198" i="1"/>
  <c r="AD198" i="1"/>
  <c r="AC198" i="1"/>
  <c r="AB198" i="1"/>
  <c r="Z198" i="1"/>
  <c r="J198" i="1"/>
  <c r="AK198" i="1" s="1"/>
  <c r="BJ197" i="1"/>
  <c r="BF197" i="1"/>
  <c r="BD197" i="1"/>
  <c r="AX197" i="1"/>
  <c r="AP197" i="1"/>
  <c r="I197" i="1" s="1"/>
  <c r="AO197" i="1"/>
  <c r="AL197" i="1"/>
  <c r="AK197" i="1"/>
  <c r="AJ197" i="1"/>
  <c r="AH197" i="1"/>
  <c r="AE197" i="1"/>
  <c r="AD197" i="1"/>
  <c r="AC197" i="1"/>
  <c r="AB197" i="1"/>
  <c r="Z197" i="1"/>
  <c r="J197" i="1"/>
  <c r="BJ196" i="1"/>
  <c r="BI196" i="1"/>
  <c r="BF196" i="1"/>
  <c r="BD196" i="1"/>
  <c r="AX196" i="1"/>
  <c r="AW196" i="1"/>
  <c r="AV196" i="1" s="1"/>
  <c r="AP196" i="1"/>
  <c r="AO196" i="1"/>
  <c r="BH196" i="1" s="1"/>
  <c r="AL196" i="1"/>
  <c r="AK196" i="1"/>
  <c r="AJ196" i="1"/>
  <c r="AH196" i="1"/>
  <c r="AG196" i="1"/>
  <c r="AF196" i="1"/>
  <c r="AE196" i="1"/>
  <c r="AD196" i="1"/>
  <c r="AC196" i="1"/>
  <c r="AB196" i="1"/>
  <c r="Z196" i="1"/>
  <c r="J196" i="1"/>
  <c r="I196" i="1"/>
  <c r="H196" i="1"/>
  <c r="BJ194" i="1"/>
  <c r="BI194" i="1"/>
  <c r="AG194" i="1" s="1"/>
  <c r="BF194" i="1"/>
  <c r="BD194" i="1"/>
  <c r="AX194" i="1"/>
  <c r="AP194" i="1"/>
  <c r="AO194" i="1"/>
  <c r="AW194" i="1" s="1"/>
  <c r="AL194" i="1"/>
  <c r="AU193" i="1" s="1"/>
  <c r="AJ194" i="1"/>
  <c r="AH194" i="1"/>
  <c r="AE194" i="1"/>
  <c r="AD194" i="1"/>
  <c r="AC194" i="1"/>
  <c r="AB194" i="1"/>
  <c r="Z194" i="1"/>
  <c r="J194" i="1"/>
  <c r="I194" i="1"/>
  <c r="BJ192" i="1"/>
  <c r="BF192" i="1"/>
  <c r="BD192" i="1"/>
  <c r="AP192" i="1"/>
  <c r="AO192" i="1"/>
  <c r="AW192" i="1" s="1"/>
  <c r="AL192" i="1"/>
  <c r="AK192" i="1"/>
  <c r="AJ192" i="1"/>
  <c r="AH192" i="1"/>
  <c r="AE192" i="1"/>
  <c r="AD192" i="1"/>
  <c r="AC192" i="1"/>
  <c r="AB192" i="1"/>
  <c r="Z192" i="1"/>
  <c r="J192" i="1"/>
  <c r="BJ191" i="1"/>
  <c r="BF191" i="1"/>
  <c r="BD191" i="1"/>
  <c r="AP191" i="1"/>
  <c r="AO191" i="1"/>
  <c r="AW191" i="1" s="1"/>
  <c r="AL191" i="1"/>
  <c r="AJ191" i="1"/>
  <c r="AH191" i="1"/>
  <c r="AE191" i="1"/>
  <c r="AD191" i="1"/>
  <c r="AC191" i="1"/>
  <c r="AB191" i="1"/>
  <c r="Z191" i="1"/>
  <c r="J191" i="1"/>
  <c r="AK191" i="1" s="1"/>
  <c r="BJ190" i="1"/>
  <c r="BF190" i="1"/>
  <c r="BD190" i="1"/>
  <c r="AX190" i="1"/>
  <c r="AP190" i="1"/>
  <c r="I190" i="1" s="1"/>
  <c r="AO190" i="1"/>
  <c r="AL190" i="1"/>
  <c r="AJ190" i="1"/>
  <c r="AH190" i="1"/>
  <c r="AE190" i="1"/>
  <c r="AD190" i="1"/>
  <c r="AC190" i="1"/>
  <c r="AB190" i="1"/>
  <c r="Z190" i="1"/>
  <c r="J190" i="1"/>
  <c r="AK190" i="1" s="1"/>
  <c r="BJ189" i="1"/>
  <c r="BI189" i="1"/>
  <c r="BF189" i="1"/>
  <c r="BD189" i="1"/>
  <c r="AP189" i="1"/>
  <c r="I189" i="1" s="1"/>
  <c r="AO189" i="1"/>
  <c r="AL189" i="1"/>
  <c r="AK189" i="1"/>
  <c r="AJ189" i="1"/>
  <c r="AH189" i="1"/>
  <c r="AG189" i="1"/>
  <c r="AE189" i="1"/>
  <c r="AD189" i="1"/>
  <c r="AC189" i="1"/>
  <c r="AB189" i="1"/>
  <c r="Z189" i="1"/>
  <c r="J189" i="1"/>
  <c r="H189" i="1"/>
  <c r="BJ187" i="1"/>
  <c r="BF187" i="1"/>
  <c r="BD187" i="1"/>
  <c r="AW187" i="1"/>
  <c r="AP187" i="1"/>
  <c r="AO187" i="1"/>
  <c r="AL187" i="1"/>
  <c r="AK187" i="1"/>
  <c r="AT184" i="1" s="1"/>
  <c r="AJ187" i="1"/>
  <c r="AS184" i="1" s="1"/>
  <c r="AH187" i="1"/>
  <c r="AE187" i="1"/>
  <c r="AD187" i="1"/>
  <c r="AC187" i="1"/>
  <c r="AB187" i="1"/>
  <c r="Z187" i="1"/>
  <c r="J187" i="1"/>
  <c r="BJ185" i="1"/>
  <c r="BF185" i="1"/>
  <c r="BD185" i="1"/>
  <c r="AX185" i="1"/>
  <c r="AW185" i="1"/>
  <c r="BC185" i="1" s="1"/>
  <c r="AV185" i="1"/>
  <c r="AP185" i="1"/>
  <c r="BI185" i="1" s="1"/>
  <c r="AG185" i="1" s="1"/>
  <c r="AO185" i="1"/>
  <c r="H185" i="1" s="1"/>
  <c r="AL185" i="1"/>
  <c r="AU184" i="1" s="1"/>
  <c r="AJ185" i="1"/>
  <c r="AH185" i="1"/>
  <c r="AE185" i="1"/>
  <c r="AD185" i="1"/>
  <c r="AC185" i="1"/>
  <c r="AB185" i="1"/>
  <c r="Z185" i="1"/>
  <c r="J185" i="1"/>
  <c r="AK185" i="1" s="1"/>
  <c r="J184" i="1"/>
  <c r="BJ183" i="1"/>
  <c r="BF183" i="1"/>
  <c r="BD183" i="1"/>
  <c r="AW183" i="1"/>
  <c r="AP183" i="1"/>
  <c r="AO183" i="1"/>
  <c r="BH183" i="1" s="1"/>
  <c r="AL183" i="1"/>
  <c r="AU182" i="1" s="1"/>
  <c r="AK183" i="1"/>
  <c r="AT182" i="1" s="1"/>
  <c r="AJ183" i="1"/>
  <c r="AH183" i="1"/>
  <c r="AF183" i="1"/>
  <c r="AE183" i="1"/>
  <c r="AD183" i="1"/>
  <c r="AC183" i="1"/>
  <c r="AB183" i="1"/>
  <c r="Z183" i="1"/>
  <c r="J183" i="1"/>
  <c r="I183" i="1"/>
  <c r="I182" i="1" s="1"/>
  <c r="H183" i="1"/>
  <c r="H182" i="1" s="1"/>
  <c r="AS182" i="1"/>
  <c r="J182" i="1"/>
  <c r="BJ181" i="1"/>
  <c r="BH181" i="1"/>
  <c r="BF181" i="1"/>
  <c r="BD181" i="1"/>
  <c r="AX181" i="1"/>
  <c r="AV181" i="1" s="1"/>
  <c r="AW181" i="1"/>
  <c r="AP181" i="1"/>
  <c r="AO181" i="1"/>
  <c r="AL181" i="1"/>
  <c r="AK181" i="1"/>
  <c r="AJ181" i="1"/>
  <c r="AH181" i="1"/>
  <c r="AG181" i="1"/>
  <c r="AF181" i="1"/>
  <c r="AE181" i="1"/>
  <c r="AD181" i="1"/>
  <c r="AC181" i="1"/>
  <c r="AB181" i="1"/>
  <c r="Z181" i="1"/>
  <c r="J181" i="1"/>
  <c r="H181" i="1"/>
  <c r="H180" i="1" s="1"/>
  <c r="AU180" i="1"/>
  <c r="AT180" i="1"/>
  <c r="AS180" i="1"/>
  <c r="J180" i="1"/>
  <c r="BJ178" i="1"/>
  <c r="BF178" i="1"/>
  <c r="BD178" i="1"/>
  <c r="AP178" i="1"/>
  <c r="BI178" i="1" s="1"/>
  <c r="AO178" i="1"/>
  <c r="H178" i="1" s="1"/>
  <c r="AL178" i="1"/>
  <c r="AU174" i="1" s="1"/>
  <c r="AJ178" i="1"/>
  <c r="AH178" i="1"/>
  <c r="AG178" i="1"/>
  <c r="AF178" i="1"/>
  <c r="AE178" i="1"/>
  <c r="AD178" i="1"/>
  <c r="AC178" i="1"/>
  <c r="AB178" i="1"/>
  <c r="Z178" i="1"/>
  <c r="J178" i="1"/>
  <c r="AK178" i="1" s="1"/>
  <c r="BJ176" i="1"/>
  <c r="Z176" i="1" s="1"/>
  <c r="BH176" i="1"/>
  <c r="BF176" i="1"/>
  <c r="BD176" i="1"/>
  <c r="AW176" i="1"/>
  <c r="AP176" i="1"/>
  <c r="AX176" i="1" s="1"/>
  <c r="AV176" i="1" s="1"/>
  <c r="AO176" i="1"/>
  <c r="AL176" i="1"/>
  <c r="AJ176" i="1"/>
  <c r="AS174" i="1" s="1"/>
  <c r="AH176" i="1"/>
  <c r="AG176" i="1"/>
  <c r="AF176" i="1"/>
  <c r="AE176" i="1"/>
  <c r="AD176" i="1"/>
  <c r="AC176" i="1"/>
  <c r="AB176" i="1"/>
  <c r="J176" i="1"/>
  <c r="AK176" i="1" s="1"/>
  <c r="H176" i="1"/>
  <c r="BJ175" i="1"/>
  <c r="Z175" i="1" s="1"/>
  <c r="BI175" i="1"/>
  <c r="BH175" i="1"/>
  <c r="BF175" i="1"/>
  <c r="BD175" i="1"/>
  <c r="AX175" i="1"/>
  <c r="AV175" i="1" s="1"/>
  <c r="AW175" i="1"/>
  <c r="AP175" i="1"/>
  <c r="AO175" i="1"/>
  <c r="AL175" i="1"/>
  <c r="AJ175" i="1"/>
  <c r="AH175" i="1"/>
  <c r="AG175" i="1"/>
  <c r="AF175" i="1"/>
  <c r="AE175" i="1"/>
  <c r="AD175" i="1"/>
  <c r="AC175" i="1"/>
  <c r="AB175" i="1"/>
  <c r="J175" i="1"/>
  <c r="I175" i="1"/>
  <c r="H175" i="1"/>
  <c r="BJ172" i="1"/>
  <c r="BF172" i="1"/>
  <c r="BD172" i="1"/>
  <c r="AP172" i="1"/>
  <c r="AO172" i="1"/>
  <c r="AW172" i="1" s="1"/>
  <c r="AL172" i="1"/>
  <c r="AK172" i="1"/>
  <c r="AJ172" i="1"/>
  <c r="AS156" i="1" s="1"/>
  <c r="AH172" i="1"/>
  <c r="AG172" i="1"/>
  <c r="AF172" i="1"/>
  <c r="AE172" i="1"/>
  <c r="AD172" i="1"/>
  <c r="Z172" i="1"/>
  <c r="J172" i="1"/>
  <c r="BJ170" i="1"/>
  <c r="BF170" i="1"/>
  <c r="BD170" i="1"/>
  <c r="AP170" i="1"/>
  <c r="BI170" i="1" s="1"/>
  <c r="AC170" i="1" s="1"/>
  <c r="AO170" i="1"/>
  <c r="BH170" i="1" s="1"/>
  <c r="AB170" i="1" s="1"/>
  <c r="AL170" i="1"/>
  <c r="AK170" i="1"/>
  <c r="AJ170" i="1"/>
  <c r="AH170" i="1"/>
  <c r="AG170" i="1"/>
  <c r="AF170" i="1"/>
  <c r="AE170" i="1"/>
  <c r="AD170" i="1"/>
  <c r="Z170" i="1"/>
  <c r="J170" i="1"/>
  <c r="BJ169" i="1"/>
  <c r="BI169" i="1"/>
  <c r="AC169" i="1" s="1"/>
  <c r="BF169" i="1"/>
  <c r="BD169" i="1"/>
  <c r="AX169" i="1"/>
  <c r="AP169" i="1"/>
  <c r="AO169" i="1"/>
  <c r="AW169" i="1" s="1"/>
  <c r="AL169" i="1"/>
  <c r="AU156" i="1" s="1"/>
  <c r="AJ169" i="1"/>
  <c r="AH169" i="1"/>
  <c r="AG169" i="1"/>
  <c r="AF169" i="1"/>
  <c r="AE169" i="1"/>
  <c r="AD169" i="1"/>
  <c r="Z169" i="1"/>
  <c r="J169" i="1"/>
  <c r="AK169" i="1" s="1"/>
  <c r="I169" i="1"/>
  <c r="BJ167" i="1"/>
  <c r="BH167" i="1"/>
  <c r="AB167" i="1" s="1"/>
  <c r="BF167" i="1"/>
  <c r="BD167" i="1"/>
  <c r="AP167" i="1"/>
  <c r="I167" i="1" s="1"/>
  <c r="AO167" i="1"/>
  <c r="AL167" i="1"/>
  <c r="AJ167" i="1"/>
  <c r="AH167" i="1"/>
  <c r="AG167" i="1"/>
  <c r="AF167" i="1"/>
  <c r="AE167" i="1"/>
  <c r="AD167" i="1"/>
  <c r="Z167" i="1"/>
  <c r="J167" i="1"/>
  <c r="AK167" i="1" s="1"/>
  <c r="BJ165" i="1"/>
  <c r="BI165" i="1"/>
  <c r="AC165" i="1" s="1"/>
  <c r="BF165" i="1"/>
  <c r="BD165" i="1"/>
  <c r="AX165" i="1"/>
  <c r="AW165" i="1"/>
  <c r="AV165" i="1" s="1"/>
  <c r="AP165" i="1"/>
  <c r="I165" i="1" s="1"/>
  <c r="AO165" i="1"/>
  <c r="BH165" i="1" s="1"/>
  <c r="AL165" i="1"/>
  <c r="AK165" i="1"/>
  <c r="AJ165" i="1"/>
  <c r="AH165" i="1"/>
  <c r="AG165" i="1"/>
  <c r="AF165" i="1"/>
  <c r="AE165" i="1"/>
  <c r="AD165" i="1"/>
  <c r="AB165" i="1"/>
  <c r="Z165" i="1"/>
  <c r="J165" i="1"/>
  <c r="H165" i="1"/>
  <c r="BJ163" i="1"/>
  <c r="BH163" i="1"/>
  <c r="AB163" i="1" s="1"/>
  <c r="BF163" i="1"/>
  <c r="BD163" i="1"/>
  <c r="AP163" i="1"/>
  <c r="AX163" i="1" s="1"/>
  <c r="AO163" i="1"/>
  <c r="AW163" i="1" s="1"/>
  <c r="AL163" i="1"/>
  <c r="AJ163" i="1"/>
  <c r="AH163" i="1"/>
  <c r="AG163" i="1"/>
  <c r="AF163" i="1"/>
  <c r="AE163" i="1"/>
  <c r="AD163" i="1"/>
  <c r="Z163" i="1"/>
  <c r="J163" i="1"/>
  <c r="AK163" i="1" s="1"/>
  <c r="AT156" i="1" s="1"/>
  <c r="H163" i="1"/>
  <c r="BJ161" i="1"/>
  <c r="BI161" i="1"/>
  <c r="BF161" i="1"/>
  <c r="BD161" i="1"/>
  <c r="AX161" i="1"/>
  <c r="AW161" i="1"/>
  <c r="AP161" i="1"/>
  <c r="AO161" i="1"/>
  <c r="AL161" i="1"/>
  <c r="AJ161" i="1"/>
  <c r="AH161" i="1"/>
  <c r="AG161" i="1"/>
  <c r="AF161" i="1"/>
  <c r="AE161" i="1"/>
  <c r="AD161" i="1"/>
  <c r="AC161" i="1"/>
  <c r="Z161" i="1"/>
  <c r="J161" i="1"/>
  <c r="AK161" i="1" s="1"/>
  <c r="I161" i="1"/>
  <c r="BJ159" i="1"/>
  <c r="BI159" i="1"/>
  <c r="AC159" i="1" s="1"/>
  <c r="BF159" i="1"/>
  <c r="BD159" i="1"/>
  <c r="AX159" i="1"/>
  <c r="AP159" i="1"/>
  <c r="I159" i="1" s="1"/>
  <c r="AO159" i="1"/>
  <c r="AL159" i="1"/>
  <c r="AK159" i="1"/>
  <c r="AJ159" i="1"/>
  <c r="AH159" i="1"/>
  <c r="AG159" i="1"/>
  <c r="AF159" i="1"/>
  <c r="AE159" i="1"/>
  <c r="AD159" i="1"/>
  <c r="Z159" i="1"/>
  <c r="J159" i="1"/>
  <c r="BJ157" i="1"/>
  <c r="BF157" i="1"/>
  <c r="BD157" i="1"/>
  <c r="AW157" i="1"/>
  <c r="AP157" i="1"/>
  <c r="AX157" i="1" s="1"/>
  <c r="AV157" i="1" s="1"/>
  <c r="AO157" i="1"/>
  <c r="AL157" i="1"/>
  <c r="AK157" i="1"/>
  <c r="AJ157" i="1"/>
  <c r="AH157" i="1"/>
  <c r="AG157" i="1"/>
  <c r="AF157" i="1"/>
  <c r="AE157" i="1"/>
  <c r="AD157" i="1"/>
  <c r="Z157" i="1"/>
  <c r="J157" i="1"/>
  <c r="BJ155" i="1"/>
  <c r="BI155" i="1"/>
  <c r="AC155" i="1" s="1"/>
  <c r="BH155" i="1"/>
  <c r="AB155" i="1" s="1"/>
  <c r="BF155" i="1"/>
  <c r="BD155" i="1"/>
  <c r="AP155" i="1"/>
  <c r="AX155" i="1" s="1"/>
  <c r="BC155" i="1" s="1"/>
  <c r="AO155" i="1"/>
  <c r="AW155" i="1" s="1"/>
  <c r="AL155" i="1"/>
  <c r="AJ155" i="1"/>
  <c r="AH155" i="1"/>
  <c r="AG155" i="1"/>
  <c r="AF155" i="1"/>
  <c r="AE155" i="1"/>
  <c r="AD155" i="1"/>
  <c r="Z155" i="1"/>
  <c r="J155" i="1"/>
  <c r="AK155" i="1" s="1"/>
  <c r="I155" i="1"/>
  <c r="H155" i="1"/>
  <c r="BJ152" i="1"/>
  <c r="BI152" i="1"/>
  <c r="BF152" i="1"/>
  <c r="BD152" i="1"/>
  <c r="AP152" i="1"/>
  <c r="AO152" i="1"/>
  <c r="AL152" i="1"/>
  <c r="AK152" i="1"/>
  <c r="AJ152" i="1"/>
  <c r="AH152" i="1"/>
  <c r="AG152" i="1"/>
  <c r="AF152" i="1"/>
  <c r="AE152" i="1"/>
  <c r="AD152" i="1"/>
  <c r="AC152" i="1"/>
  <c r="Z152" i="1"/>
  <c r="J152" i="1"/>
  <c r="H152" i="1"/>
  <c r="BJ150" i="1"/>
  <c r="BF150" i="1"/>
  <c r="BD150" i="1"/>
  <c r="AX150" i="1"/>
  <c r="AP150" i="1"/>
  <c r="BI150" i="1" s="1"/>
  <c r="AO150" i="1"/>
  <c r="BH150" i="1" s="1"/>
  <c r="AL150" i="1"/>
  <c r="AK150" i="1"/>
  <c r="AJ150" i="1"/>
  <c r="AH150" i="1"/>
  <c r="AG150" i="1"/>
  <c r="AF150" i="1"/>
  <c r="AE150" i="1"/>
  <c r="AD150" i="1"/>
  <c r="AC150" i="1"/>
  <c r="AB150" i="1"/>
  <c r="Z150" i="1"/>
  <c r="J150" i="1"/>
  <c r="I150" i="1"/>
  <c r="H150" i="1"/>
  <c r="BJ147" i="1"/>
  <c r="BF147" i="1"/>
  <c r="BD147" i="1"/>
  <c r="AX147" i="1"/>
  <c r="AP147" i="1"/>
  <c r="I147" i="1" s="1"/>
  <c r="AO147" i="1"/>
  <c r="AL147" i="1"/>
  <c r="AJ147" i="1"/>
  <c r="AH147" i="1"/>
  <c r="AG147" i="1"/>
  <c r="AF147" i="1"/>
  <c r="AE147" i="1"/>
  <c r="AD147" i="1"/>
  <c r="Z147" i="1"/>
  <c r="J147" i="1"/>
  <c r="AK147" i="1" s="1"/>
  <c r="BJ144" i="1"/>
  <c r="BF144" i="1"/>
  <c r="BD144" i="1"/>
  <c r="AX144" i="1"/>
  <c r="AP144" i="1"/>
  <c r="AO144" i="1"/>
  <c r="AL144" i="1"/>
  <c r="AJ144" i="1"/>
  <c r="AH144" i="1"/>
  <c r="AG144" i="1"/>
  <c r="AF144" i="1"/>
  <c r="AE144" i="1"/>
  <c r="AD144" i="1"/>
  <c r="Z144" i="1"/>
  <c r="J144" i="1"/>
  <c r="AK144" i="1" s="1"/>
  <c r="BJ143" i="1"/>
  <c r="BF143" i="1"/>
  <c r="BD143" i="1"/>
  <c r="AP143" i="1"/>
  <c r="AO143" i="1"/>
  <c r="AL143" i="1"/>
  <c r="AK143" i="1"/>
  <c r="AJ143" i="1"/>
  <c r="AH143" i="1"/>
  <c r="AG143" i="1"/>
  <c r="AF143" i="1"/>
  <c r="AE143" i="1"/>
  <c r="AD143" i="1"/>
  <c r="Z143" i="1"/>
  <c r="J143" i="1"/>
  <c r="H143" i="1"/>
  <c r="BJ142" i="1"/>
  <c r="BF142" i="1"/>
  <c r="BD142" i="1"/>
  <c r="AP142" i="1"/>
  <c r="BI142" i="1" s="1"/>
  <c r="AC142" i="1" s="1"/>
  <c r="AO142" i="1"/>
  <c r="BH142" i="1" s="1"/>
  <c r="AB142" i="1" s="1"/>
  <c r="AL142" i="1"/>
  <c r="AK142" i="1"/>
  <c r="AJ142" i="1"/>
  <c r="AH142" i="1"/>
  <c r="AG142" i="1"/>
  <c r="AF142" i="1"/>
  <c r="AE142" i="1"/>
  <c r="AD142" i="1"/>
  <c r="Z142" i="1"/>
  <c r="J142" i="1"/>
  <c r="I142" i="1"/>
  <c r="H142" i="1"/>
  <c r="BJ141" i="1"/>
  <c r="BI141" i="1"/>
  <c r="AC141" i="1" s="1"/>
  <c r="BF141" i="1"/>
  <c r="BD141" i="1"/>
  <c r="AW141" i="1"/>
  <c r="AP141" i="1"/>
  <c r="I141" i="1" s="1"/>
  <c r="AO141" i="1"/>
  <c r="BH141" i="1" s="1"/>
  <c r="AB141" i="1" s="1"/>
  <c r="AL141" i="1"/>
  <c r="AJ141" i="1"/>
  <c r="AH141" i="1"/>
  <c r="AG141" i="1"/>
  <c r="AF141" i="1"/>
  <c r="AE141" i="1"/>
  <c r="AD141" i="1"/>
  <c r="Z141" i="1"/>
  <c r="J141" i="1"/>
  <c r="AK141" i="1" s="1"/>
  <c r="BJ140" i="1"/>
  <c r="BH140" i="1"/>
  <c r="BF140" i="1"/>
  <c r="BD140" i="1"/>
  <c r="AP140" i="1"/>
  <c r="I140" i="1" s="1"/>
  <c r="AO140" i="1"/>
  <c r="AW140" i="1" s="1"/>
  <c r="AL140" i="1"/>
  <c r="AJ140" i="1"/>
  <c r="AH140" i="1"/>
  <c r="AG140" i="1"/>
  <c r="AF140" i="1"/>
  <c r="AE140" i="1"/>
  <c r="AD140" i="1"/>
  <c r="AB140" i="1"/>
  <c r="Z140" i="1"/>
  <c r="J140" i="1"/>
  <c r="AK140" i="1" s="1"/>
  <c r="H140" i="1"/>
  <c r="BJ139" i="1"/>
  <c r="BI139" i="1"/>
  <c r="AC139" i="1" s="1"/>
  <c r="BF139" i="1"/>
  <c r="BD139" i="1"/>
  <c r="AP139" i="1"/>
  <c r="AO139" i="1"/>
  <c r="AL139" i="1"/>
  <c r="AK139" i="1"/>
  <c r="AJ139" i="1"/>
  <c r="AH139" i="1"/>
  <c r="AG139" i="1"/>
  <c r="AF139" i="1"/>
  <c r="AE139" i="1"/>
  <c r="AD139" i="1"/>
  <c r="Z139" i="1"/>
  <c r="J139" i="1"/>
  <c r="H139" i="1"/>
  <c r="BJ137" i="1"/>
  <c r="BF137" i="1"/>
  <c r="BD137" i="1"/>
  <c r="AX137" i="1"/>
  <c r="AP137" i="1"/>
  <c r="BI137" i="1" s="1"/>
  <c r="AO137" i="1"/>
  <c r="BH137" i="1" s="1"/>
  <c r="AL137" i="1"/>
  <c r="AK137" i="1"/>
  <c r="AJ137" i="1"/>
  <c r="AH137" i="1"/>
  <c r="AG137" i="1"/>
  <c r="AF137" i="1"/>
  <c r="AE137" i="1"/>
  <c r="AD137" i="1"/>
  <c r="AC137" i="1"/>
  <c r="AB137" i="1"/>
  <c r="Z137" i="1"/>
  <c r="J137" i="1"/>
  <c r="I137" i="1"/>
  <c r="H137" i="1"/>
  <c r="BJ136" i="1"/>
  <c r="BF136" i="1"/>
  <c r="BD136" i="1"/>
  <c r="AP136" i="1"/>
  <c r="I136" i="1" s="1"/>
  <c r="AO136" i="1"/>
  <c r="AL136" i="1"/>
  <c r="AJ136" i="1"/>
  <c r="AH136" i="1"/>
  <c r="AG136" i="1"/>
  <c r="AF136" i="1"/>
  <c r="AE136" i="1"/>
  <c r="AD136" i="1"/>
  <c r="Z136" i="1"/>
  <c r="J136" i="1"/>
  <c r="AK136" i="1" s="1"/>
  <c r="BJ135" i="1"/>
  <c r="BF135" i="1"/>
  <c r="BD135" i="1"/>
  <c r="AP135" i="1"/>
  <c r="AO135" i="1"/>
  <c r="AL135" i="1"/>
  <c r="AJ135" i="1"/>
  <c r="AH135" i="1"/>
  <c r="AG135" i="1"/>
  <c r="AF135" i="1"/>
  <c r="AE135" i="1"/>
  <c r="AD135" i="1"/>
  <c r="Z135" i="1"/>
  <c r="J135" i="1"/>
  <c r="AK135" i="1" s="1"/>
  <c r="BJ134" i="1"/>
  <c r="BF134" i="1"/>
  <c r="BD134" i="1"/>
  <c r="AP134" i="1"/>
  <c r="AO134" i="1"/>
  <c r="AL134" i="1"/>
  <c r="AK134" i="1"/>
  <c r="AJ134" i="1"/>
  <c r="AH134" i="1"/>
  <c r="AG134" i="1"/>
  <c r="AF134" i="1"/>
  <c r="AE134" i="1"/>
  <c r="AD134" i="1"/>
  <c r="Z134" i="1"/>
  <c r="J134" i="1"/>
  <c r="BJ132" i="1"/>
  <c r="BF132" i="1"/>
  <c r="BD132" i="1"/>
  <c r="AP132" i="1"/>
  <c r="BI132" i="1" s="1"/>
  <c r="AC132" i="1" s="1"/>
  <c r="AO132" i="1"/>
  <c r="BH132" i="1" s="1"/>
  <c r="AB132" i="1" s="1"/>
  <c r="AL132" i="1"/>
  <c r="AU127" i="1" s="1"/>
  <c r="AK132" i="1"/>
  <c r="AJ132" i="1"/>
  <c r="AH132" i="1"/>
  <c r="AG132" i="1"/>
  <c r="AF132" i="1"/>
  <c r="AE132" i="1"/>
  <c r="AD132" i="1"/>
  <c r="Z132" i="1"/>
  <c r="J132" i="1"/>
  <c r="BJ131" i="1"/>
  <c r="BH131" i="1"/>
  <c r="AB131" i="1" s="1"/>
  <c r="BF131" i="1"/>
  <c r="BD131" i="1"/>
  <c r="AW131" i="1"/>
  <c r="AP131" i="1"/>
  <c r="I131" i="1" s="1"/>
  <c r="AO131" i="1"/>
  <c r="H131" i="1" s="1"/>
  <c r="AL131" i="1"/>
  <c r="AJ131" i="1"/>
  <c r="AH131" i="1"/>
  <c r="AG131" i="1"/>
  <c r="AF131" i="1"/>
  <c r="AE131" i="1"/>
  <c r="AD131" i="1"/>
  <c r="Z131" i="1"/>
  <c r="J131" i="1"/>
  <c r="AK131" i="1" s="1"/>
  <c r="BJ129" i="1"/>
  <c r="BH129" i="1"/>
  <c r="AB129" i="1" s="1"/>
  <c r="BF129" i="1"/>
  <c r="BD129" i="1"/>
  <c r="AP129" i="1"/>
  <c r="I129" i="1" s="1"/>
  <c r="AO129" i="1"/>
  <c r="AW129" i="1" s="1"/>
  <c r="AL129" i="1"/>
  <c r="AJ129" i="1"/>
  <c r="AH129" i="1"/>
  <c r="AG129" i="1"/>
  <c r="AF129" i="1"/>
  <c r="AE129" i="1"/>
  <c r="AD129" i="1"/>
  <c r="Z129" i="1"/>
  <c r="J129" i="1"/>
  <c r="AK129" i="1" s="1"/>
  <c r="H129" i="1"/>
  <c r="BJ128" i="1"/>
  <c r="BI128" i="1"/>
  <c r="AC128" i="1" s="1"/>
  <c r="BF128" i="1"/>
  <c r="BD128" i="1"/>
  <c r="AP128" i="1"/>
  <c r="AO128" i="1"/>
  <c r="AL128" i="1"/>
  <c r="AK128" i="1"/>
  <c r="AJ128" i="1"/>
  <c r="AS127" i="1" s="1"/>
  <c r="AH128" i="1"/>
  <c r="AG128" i="1"/>
  <c r="AF128" i="1"/>
  <c r="AE128" i="1"/>
  <c r="AD128" i="1"/>
  <c r="Z128" i="1"/>
  <c r="J128" i="1"/>
  <c r="H128" i="1"/>
  <c r="BJ126" i="1"/>
  <c r="BF126" i="1"/>
  <c r="BD126" i="1"/>
  <c r="AW126" i="1"/>
  <c r="AP126" i="1"/>
  <c r="AO126" i="1"/>
  <c r="AL126" i="1"/>
  <c r="AJ126" i="1"/>
  <c r="AS125" i="1" s="1"/>
  <c r="AH126" i="1"/>
  <c r="AG126" i="1"/>
  <c r="AF126" i="1"/>
  <c r="AC126" i="1"/>
  <c r="AB126" i="1"/>
  <c r="Z126" i="1"/>
  <c r="J126" i="1"/>
  <c r="AK126" i="1" s="1"/>
  <c r="AU125" i="1"/>
  <c r="AT125" i="1"/>
  <c r="J125" i="1"/>
  <c r="BJ124" i="1"/>
  <c r="BH124" i="1"/>
  <c r="AD124" i="1" s="1"/>
  <c r="BF124" i="1"/>
  <c r="BD124" i="1"/>
  <c r="AP124" i="1"/>
  <c r="BI124" i="1" s="1"/>
  <c r="AE124" i="1" s="1"/>
  <c r="AO124" i="1"/>
  <c r="H124" i="1" s="1"/>
  <c r="AL124" i="1"/>
  <c r="AJ124" i="1"/>
  <c r="AH124" i="1"/>
  <c r="AG124" i="1"/>
  <c r="AF124" i="1"/>
  <c r="AC124" i="1"/>
  <c r="AB124" i="1"/>
  <c r="Z124" i="1"/>
  <c r="J124" i="1"/>
  <c r="J118" i="1" s="1"/>
  <c r="I124" i="1"/>
  <c r="BJ123" i="1"/>
  <c r="BI123" i="1"/>
  <c r="BF123" i="1"/>
  <c r="BD123" i="1"/>
  <c r="AX123" i="1"/>
  <c r="AP123" i="1"/>
  <c r="AO123" i="1"/>
  <c r="BH123" i="1" s="1"/>
  <c r="AD123" i="1" s="1"/>
  <c r="AL123" i="1"/>
  <c r="AJ123" i="1"/>
  <c r="AH123" i="1"/>
  <c r="AG123" i="1"/>
  <c r="AF123" i="1"/>
  <c r="AE123" i="1"/>
  <c r="AC123" i="1"/>
  <c r="AB123" i="1"/>
  <c r="Z123" i="1"/>
  <c r="J123" i="1"/>
  <c r="AK123" i="1" s="1"/>
  <c r="I123" i="1"/>
  <c r="BJ121" i="1"/>
  <c r="BI121" i="1"/>
  <c r="BH121" i="1"/>
  <c r="AD121" i="1" s="1"/>
  <c r="BF121" i="1"/>
  <c r="BD121" i="1"/>
  <c r="AW121" i="1"/>
  <c r="AP121" i="1"/>
  <c r="AX121" i="1" s="1"/>
  <c r="BC121" i="1" s="1"/>
  <c r="AO121" i="1"/>
  <c r="AL121" i="1"/>
  <c r="AK121" i="1"/>
  <c r="AJ121" i="1"/>
  <c r="AH121" i="1"/>
  <c r="AG121" i="1"/>
  <c r="AF121" i="1"/>
  <c r="AE121" i="1"/>
  <c r="AC121" i="1"/>
  <c r="AB121" i="1"/>
  <c r="Z121" i="1"/>
  <c r="J121" i="1"/>
  <c r="I121" i="1"/>
  <c r="H121" i="1"/>
  <c r="BJ120" i="1"/>
  <c r="BI120" i="1"/>
  <c r="BH120" i="1"/>
  <c r="BF120" i="1"/>
  <c r="BD120" i="1"/>
  <c r="AW120" i="1"/>
  <c r="BC120" i="1" s="1"/>
  <c r="AP120" i="1"/>
  <c r="AX120" i="1" s="1"/>
  <c r="AO120" i="1"/>
  <c r="AL120" i="1"/>
  <c r="AK120" i="1"/>
  <c r="AJ120" i="1"/>
  <c r="AS118" i="1" s="1"/>
  <c r="AH120" i="1"/>
  <c r="AG120" i="1"/>
  <c r="AF120" i="1"/>
  <c r="AE120" i="1"/>
  <c r="AD120" i="1"/>
  <c r="AC120" i="1"/>
  <c r="AB120" i="1"/>
  <c r="Z120" i="1"/>
  <c r="J120" i="1"/>
  <c r="I120" i="1"/>
  <c r="H120" i="1"/>
  <c r="BJ119" i="1"/>
  <c r="BF119" i="1"/>
  <c r="BD119" i="1"/>
  <c r="AP119" i="1"/>
  <c r="AX119" i="1" s="1"/>
  <c r="AO119" i="1"/>
  <c r="AW119" i="1" s="1"/>
  <c r="AL119" i="1"/>
  <c r="AU118" i="1" s="1"/>
  <c r="AK119" i="1"/>
  <c r="AJ119" i="1"/>
  <c r="AH119" i="1"/>
  <c r="AG119" i="1"/>
  <c r="AF119" i="1"/>
  <c r="AC119" i="1"/>
  <c r="AB119" i="1"/>
  <c r="Z119" i="1"/>
  <c r="J119" i="1"/>
  <c r="BJ117" i="1"/>
  <c r="BI117" i="1"/>
  <c r="AE117" i="1" s="1"/>
  <c r="BH117" i="1"/>
  <c r="AD117" i="1" s="1"/>
  <c r="BF117" i="1"/>
  <c r="BD117" i="1"/>
  <c r="BC117" i="1"/>
  <c r="AX117" i="1"/>
  <c r="AW117" i="1"/>
  <c r="AV117" i="1" s="1"/>
  <c r="AP117" i="1"/>
  <c r="AO117" i="1"/>
  <c r="AL117" i="1"/>
  <c r="AJ117" i="1"/>
  <c r="AH117" i="1"/>
  <c r="AG117" i="1"/>
  <c r="AF117" i="1"/>
  <c r="AC117" i="1"/>
  <c r="AB117" i="1"/>
  <c r="Z117" i="1"/>
  <c r="J117" i="1"/>
  <c r="AK117" i="1" s="1"/>
  <c r="I117" i="1"/>
  <c r="H117" i="1"/>
  <c r="BJ116" i="1"/>
  <c r="BI116" i="1"/>
  <c r="AE116" i="1" s="1"/>
  <c r="BF116" i="1"/>
  <c r="BD116" i="1"/>
  <c r="AX116" i="1"/>
  <c r="AP116" i="1"/>
  <c r="AO116" i="1"/>
  <c r="AL116" i="1"/>
  <c r="AJ116" i="1"/>
  <c r="AH116" i="1"/>
  <c r="AG116" i="1"/>
  <c r="AF116" i="1"/>
  <c r="AC116" i="1"/>
  <c r="AB116" i="1"/>
  <c r="Z116" i="1"/>
  <c r="J116" i="1"/>
  <c r="J112" i="1" s="1"/>
  <c r="I116" i="1"/>
  <c r="BJ115" i="1"/>
  <c r="BF115" i="1"/>
  <c r="BD115" i="1"/>
  <c r="AP115" i="1"/>
  <c r="I115" i="1" s="1"/>
  <c r="AO115" i="1"/>
  <c r="AL115" i="1"/>
  <c r="AK115" i="1"/>
  <c r="AJ115" i="1"/>
  <c r="AH115" i="1"/>
  <c r="AG115" i="1"/>
  <c r="AF115" i="1"/>
  <c r="AC115" i="1"/>
  <c r="AB115" i="1"/>
  <c r="Z115" i="1"/>
  <c r="J115" i="1"/>
  <c r="BJ114" i="1"/>
  <c r="BF114" i="1"/>
  <c r="BD114" i="1"/>
  <c r="AP114" i="1"/>
  <c r="AO114" i="1"/>
  <c r="BH114" i="1" s="1"/>
  <c r="AD114" i="1" s="1"/>
  <c r="AL114" i="1"/>
  <c r="AK114" i="1"/>
  <c r="AJ114" i="1"/>
  <c r="AS112" i="1" s="1"/>
  <c r="AH114" i="1"/>
  <c r="AG114" i="1"/>
  <c r="AF114" i="1"/>
  <c r="AC114" i="1"/>
  <c r="AB114" i="1"/>
  <c r="Z114" i="1"/>
  <c r="J114" i="1"/>
  <c r="H114" i="1"/>
  <c r="BJ113" i="1"/>
  <c r="BI113" i="1"/>
  <c r="AE113" i="1" s="1"/>
  <c r="BH113" i="1"/>
  <c r="AD113" i="1" s="1"/>
  <c r="BF113" i="1"/>
  <c r="BD113" i="1"/>
  <c r="BC113" i="1"/>
  <c r="AX113" i="1"/>
  <c r="AW113" i="1"/>
  <c r="AV113" i="1" s="1"/>
  <c r="AP113" i="1"/>
  <c r="AO113" i="1"/>
  <c r="AL113" i="1"/>
  <c r="AU112" i="1" s="1"/>
  <c r="AK113" i="1"/>
  <c r="AJ113" i="1"/>
  <c r="AH113" i="1"/>
  <c r="AG113" i="1"/>
  <c r="AF113" i="1"/>
  <c r="AC113" i="1"/>
  <c r="AB113" i="1"/>
  <c r="Z113" i="1"/>
  <c r="J113" i="1"/>
  <c r="I113" i="1"/>
  <c r="H113" i="1"/>
  <c r="BJ110" i="1"/>
  <c r="BI110" i="1"/>
  <c r="AE110" i="1" s="1"/>
  <c r="BF110" i="1"/>
  <c r="BD110" i="1"/>
  <c r="AX110" i="1"/>
  <c r="AP110" i="1"/>
  <c r="I110" i="1" s="1"/>
  <c r="I109" i="1" s="1"/>
  <c r="AO110" i="1"/>
  <c r="BH110" i="1" s="1"/>
  <c r="AD110" i="1" s="1"/>
  <c r="AL110" i="1"/>
  <c r="AU109" i="1" s="1"/>
  <c r="AK110" i="1"/>
  <c r="AJ110" i="1"/>
  <c r="AS109" i="1" s="1"/>
  <c r="AH110" i="1"/>
  <c r="AG110" i="1"/>
  <c r="AF110" i="1"/>
  <c r="AC110" i="1"/>
  <c r="AB110" i="1"/>
  <c r="Z110" i="1"/>
  <c r="J110" i="1"/>
  <c r="H110" i="1"/>
  <c r="AT109" i="1"/>
  <c r="J109" i="1"/>
  <c r="H109" i="1"/>
  <c r="BJ107" i="1"/>
  <c r="BH107" i="1"/>
  <c r="AD107" i="1" s="1"/>
  <c r="BF107" i="1"/>
  <c r="BD107" i="1"/>
  <c r="AP107" i="1"/>
  <c r="AO107" i="1"/>
  <c r="AL107" i="1"/>
  <c r="AJ107" i="1"/>
  <c r="AH107" i="1"/>
  <c r="AG107" i="1"/>
  <c r="AF107" i="1"/>
  <c r="AC107" i="1"/>
  <c r="AB107" i="1"/>
  <c r="Z107" i="1"/>
  <c r="J107" i="1"/>
  <c r="AK107" i="1" s="1"/>
  <c r="BJ105" i="1"/>
  <c r="BF105" i="1"/>
  <c r="BD105" i="1"/>
  <c r="AP105" i="1"/>
  <c r="AO105" i="1"/>
  <c r="AL105" i="1"/>
  <c r="AU104" i="1" s="1"/>
  <c r="AK105" i="1"/>
  <c r="AJ105" i="1"/>
  <c r="AS104" i="1" s="1"/>
  <c r="AH105" i="1"/>
  <c r="AG105" i="1"/>
  <c r="AF105" i="1"/>
  <c r="AC105" i="1"/>
  <c r="AB105" i="1"/>
  <c r="Z105" i="1"/>
  <c r="J105" i="1"/>
  <c r="J104" i="1"/>
  <c r="BJ102" i="1"/>
  <c r="BI102" i="1"/>
  <c r="AE102" i="1" s="1"/>
  <c r="BH102" i="1"/>
  <c r="AD102" i="1" s="1"/>
  <c r="BF102" i="1"/>
  <c r="BD102" i="1"/>
  <c r="AP102" i="1"/>
  <c r="AX102" i="1" s="1"/>
  <c r="AO102" i="1"/>
  <c r="AW102" i="1" s="1"/>
  <c r="AL102" i="1"/>
  <c r="AJ102" i="1"/>
  <c r="AH102" i="1"/>
  <c r="AG102" i="1"/>
  <c r="AF102" i="1"/>
  <c r="AC102" i="1"/>
  <c r="AB102" i="1"/>
  <c r="Z102" i="1"/>
  <c r="J102" i="1"/>
  <c r="AK102" i="1" s="1"/>
  <c r="I102" i="1"/>
  <c r="H102" i="1"/>
  <c r="BJ100" i="1"/>
  <c r="BI100" i="1"/>
  <c r="AE100" i="1" s="1"/>
  <c r="BH100" i="1"/>
  <c r="BF100" i="1"/>
  <c r="BD100" i="1"/>
  <c r="AV100" i="1"/>
  <c r="AP100" i="1"/>
  <c r="AX100" i="1" s="1"/>
  <c r="AO100" i="1"/>
  <c r="AW100" i="1" s="1"/>
  <c r="BC100" i="1" s="1"/>
  <c r="AL100" i="1"/>
  <c r="AJ100" i="1"/>
  <c r="AH100" i="1"/>
  <c r="AG100" i="1"/>
  <c r="AF100" i="1"/>
  <c r="AD100" i="1"/>
  <c r="AC100" i="1"/>
  <c r="AB100" i="1"/>
  <c r="Z100" i="1"/>
  <c r="J100" i="1"/>
  <c r="AK100" i="1" s="1"/>
  <c r="I100" i="1"/>
  <c r="H100" i="1"/>
  <c r="BJ98" i="1"/>
  <c r="BF98" i="1"/>
  <c r="BD98" i="1"/>
  <c r="AW98" i="1"/>
  <c r="AP98" i="1"/>
  <c r="AO98" i="1"/>
  <c r="BH98" i="1" s="1"/>
  <c r="AL98" i="1"/>
  <c r="AK98" i="1"/>
  <c r="AJ98" i="1"/>
  <c r="AH98" i="1"/>
  <c r="AG98" i="1"/>
  <c r="AF98" i="1"/>
  <c r="AD98" i="1"/>
  <c r="AC98" i="1"/>
  <c r="AB98" i="1"/>
  <c r="Z98" i="1"/>
  <c r="J98" i="1"/>
  <c r="I98" i="1"/>
  <c r="H98" i="1"/>
  <c r="BJ96" i="1"/>
  <c r="BF96" i="1"/>
  <c r="BD96" i="1"/>
  <c r="AP96" i="1"/>
  <c r="BI96" i="1" s="1"/>
  <c r="AE96" i="1" s="1"/>
  <c r="AO96" i="1"/>
  <c r="AW96" i="1" s="1"/>
  <c r="AL96" i="1"/>
  <c r="AJ96" i="1"/>
  <c r="AH96" i="1"/>
  <c r="AG96" i="1"/>
  <c r="AF96" i="1"/>
  <c r="AC96" i="1"/>
  <c r="AB96" i="1"/>
  <c r="Z96" i="1"/>
  <c r="J96" i="1"/>
  <c r="AK96" i="1" s="1"/>
  <c r="I96" i="1"/>
  <c r="BJ94" i="1"/>
  <c r="BF94" i="1"/>
  <c r="BD94" i="1"/>
  <c r="AX94" i="1"/>
  <c r="AP94" i="1"/>
  <c r="I94" i="1" s="1"/>
  <c r="AO94" i="1"/>
  <c r="AW94" i="1" s="1"/>
  <c r="AL94" i="1"/>
  <c r="AJ94" i="1"/>
  <c r="AH94" i="1"/>
  <c r="AG94" i="1"/>
  <c r="AF94" i="1"/>
  <c r="AC94" i="1"/>
  <c r="AB94" i="1"/>
  <c r="Z94" i="1"/>
  <c r="J94" i="1"/>
  <c r="AK94" i="1" s="1"/>
  <c r="BJ93" i="1"/>
  <c r="BH93" i="1"/>
  <c r="AD93" i="1" s="1"/>
  <c r="BF93" i="1"/>
  <c r="BD93" i="1"/>
  <c r="AP93" i="1"/>
  <c r="AO93" i="1"/>
  <c r="AW93" i="1" s="1"/>
  <c r="AL93" i="1"/>
  <c r="AJ93" i="1"/>
  <c r="AH93" i="1"/>
  <c r="AG93" i="1"/>
  <c r="AF93" i="1"/>
  <c r="AC93" i="1"/>
  <c r="AB93" i="1"/>
  <c r="Z93" i="1"/>
  <c r="J93" i="1"/>
  <c r="AK93" i="1" s="1"/>
  <c r="H93" i="1"/>
  <c r="BJ91" i="1"/>
  <c r="BF91" i="1"/>
  <c r="BD91" i="1"/>
  <c r="AP91" i="1"/>
  <c r="AO91" i="1"/>
  <c r="BH91" i="1" s="1"/>
  <c r="AL91" i="1"/>
  <c r="AK91" i="1"/>
  <c r="AJ91" i="1"/>
  <c r="AH91" i="1"/>
  <c r="AG91" i="1"/>
  <c r="AF91" i="1"/>
  <c r="AD91" i="1"/>
  <c r="AC91" i="1"/>
  <c r="AB91" i="1"/>
  <c r="Z91" i="1"/>
  <c r="J91" i="1"/>
  <c r="I91" i="1"/>
  <c r="BJ89" i="1"/>
  <c r="BF89" i="1"/>
  <c r="BD89" i="1"/>
  <c r="AP89" i="1"/>
  <c r="BI89" i="1" s="1"/>
  <c r="AE89" i="1" s="1"/>
  <c r="AO89" i="1"/>
  <c r="BH89" i="1" s="1"/>
  <c r="AD89" i="1" s="1"/>
  <c r="AL89" i="1"/>
  <c r="AK89" i="1"/>
  <c r="AJ89" i="1"/>
  <c r="AH89" i="1"/>
  <c r="AG89" i="1"/>
  <c r="AF89" i="1"/>
  <c r="AC89" i="1"/>
  <c r="AB89" i="1"/>
  <c r="Z89" i="1"/>
  <c r="J89" i="1"/>
  <c r="BJ87" i="1"/>
  <c r="BI87" i="1"/>
  <c r="AE87" i="1" s="1"/>
  <c r="BF87" i="1"/>
  <c r="BD87" i="1"/>
  <c r="AX87" i="1"/>
  <c r="AW87" i="1"/>
  <c r="BC87" i="1" s="1"/>
  <c r="AV87" i="1"/>
  <c r="AP87" i="1"/>
  <c r="AO87" i="1"/>
  <c r="BH87" i="1" s="1"/>
  <c r="AD87" i="1" s="1"/>
  <c r="AL87" i="1"/>
  <c r="AJ87" i="1"/>
  <c r="AH87" i="1"/>
  <c r="AG87" i="1"/>
  <c r="AF87" i="1"/>
  <c r="AC87" i="1"/>
  <c r="AB87" i="1"/>
  <c r="Z87" i="1"/>
  <c r="J87" i="1"/>
  <c r="AK87" i="1" s="1"/>
  <c r="I87" i="1"/>
  <c r="BJ84" i="1"/>
  <c r="BI84" i="1"/>
  <c r="AE84" i="1" s="1"/>
  <c r="BH84" i="1"/>
  <c r="AD84" i="1" s="1"/>
  <c r="BF84" i="1"/>
  <c r="BD84" i="1"/>
  <c r="AV84" i="1"/>
  <c r="AP84" i="1"/>
  <c r="AX84" i="1" s="1"/>
  <c r="AO84" i="1"/>
  <c r="AW84" i="1" s="1"/>
  <c r="BC84" i="1" s="1"/>
  <c r="AL84" i="1"/>
  <c r="AJ84" i="1"/>
  <c r="AH84" i="1"/>
  <c r="AG84" i="1"/>
  <c r="AF84" i="1"/>
  <c r="AC84" i="1"/>
  <c r="AB84" i="1"/>
  <c r="Z84" i="1"/>
  <c r="J84" i="1"/>
  <c r="I84" i="1"/>
  <c r="H84" i="1"/>
  <c r="BJ82" i="1"/>
  <c r="BF82" i="1"/>
  <c r="BD82" i="1"/>
  <c r="AW82" i="1"/>
  <c r="AP82" i="1"/>
  <c r="AO82" i="1"/>
  <c r="BH82" i="1" s="1"/>
  <c r="AD82" i="1" s="1"/>
  <c r="AL82" i="1"/>
  <c r="AK82" i="1"/>
  <c r="AJ82" i="1"/>
  <c r="AS81" i="1" s="1"/>
  <c r="AH82" i="1"/>
  <c r="AG82" i="1"/>
  <c r="AF82" i="1"/>
  <c r="AC82" i="1"/>
  <c r="AB82" i="1"/>
  <c r="Z82" i="1"/>
  <c r="J82" i="1"/>
  <c r="I82" i="1"/>
  <c r="BJ79" i="1"/>
  <c r="BI79" i="1"/>
  <c r="AE79" i="1" s="1"/>
  <c r="BH79" i="1"/>
  <c r="BF79" i="1"/>
  <c r="BD79" i="1"/>
  <c r="AX79" i="1"/>
  <c r="AW79" i="1"/>
  <c r="BC79" i="1" s="1"/>
  <c r="AV79" i="1"/>
  <c r="AP79" i="1"/>
  <c r="AO79" i="1"/>
  <c r="AL79" i="1"/>
  <c r="AK79" i="1"/>
  <c r="AJ79" i="1"/>
  <c r="AH79" i="1"/>
  <c r="AG79" i="1"/>
  <c r="AF79" i="1"/>
  <c r="AD79" i="1"/>
  <c r="AC79" i="1"/>
  <c r="AB79" i="1"/>
  <c r="Z79" i="1"/>
  <c r="J79" i="1"/>
  <c r="I79" i="1"/>
  <c r="H79" i="1"/>
  <c r="BJ77" i="1"/>
  <c r="BI77" i="1"/>
  <c r="AE77" i="1" s="1"/>
  <c r="BH77" i="1"/>
  <c r="AD77" i="1" s="1"/>
  <c r="BF77" i="1"/>
  <c r="BD77" i="1"/>
  <c r="AW77" i="1"/>
  <c r="BC77" i="1" s="1"/>
  <c r="AV77" i="1"/>
  <c r="AP77" i="1"/>
  <c r="AX77" i="1" s="1"/>
  <c r="AO77" i="1"/>
  <c r="AL77" i="1"/>
  <c r="AJ77" i="1"/>
  <c r="AH77" i="1"/>
  <c r="AG77" i="1"/>
  <c r="AF77" i="1"/>
  <c r="AC77" i="1"/>
  <c r="AB77" i="1"/>
  <c r="Z77" i="1"/>
  <c r="J77" i="1"/>
  <c r="AK77" i="1" s="1"/>
  <c r="I77" i="1"/>
  <c r="H77" i="1"/>
  <c r="BJ76" i="1"/>
  <c r="BH76" i="1"/>
  <c r="AD76" i="1" s="1"/>
  <c r="BF76" i="1"/>
  <c r="BD76" i="1"/>
  <c r="AP76" i="1"/>
  <c r="BI76" i="1" s="1"/>
  <c r="AO76" i="1"/>
  <c r="H76" i="1" s="1"/>
  <c r="AL76" i="1"/>
  <c r="AJ76" i="1"/>
  <c r="AH76" i="1"/>
  <c r="AG76" i="1"/>
  <c r="AF76" i="1"/>
  <c r="AE76" i="1"/>
  <c r="AC76" i="1"/>
  <c r="AB76" i="1"/>
  <c r="Z76" i="1"/>
  <c r="J76" i="1"/>
  <c r="AK76" i="1" s="1"/>
  <c r="I76" i="1"/>
  <c r="BJ75" i="1"/>
  <c r="BI75" i="1"/>
  <c r="BH75" i="1"/>
  <c r="BF75" i="1"/>
  <c r="BD75" i="1"/>
  <c r="AX75" i="1"/>
  <c r="AP75" i="1"/>
  <c r="AO75" i="1"/>
  <c r="AW75" i="1" s="1"/>
  <c r="BC75" i="1" s="1"/>
  <c r="AL75" i="1"/>
  <c r="AJ75" i="1"/>
  <c r="AH75" i="1"/>
  <c r="AG75" i="1"/>
  <c r="AF75" i="1"/>
  <c r="AE75" i="1"/>
  <c r="AD75" i="1"/>
  <c r="AC75" i="1"/>
  <c r="AB75" i="1"/>
  <c r="Z75" i="1"/>
  <c r="J75" i="1"/>
  <c r="AK75" i="1" s="1"/>
  <c r="I75" i="1"/>
  <c r="H75" i="1"/>
  <c r="BJ74" i="1"/>
  <c r="BH74" i="1"/>
  <c r="BF74" i="1"/>
  <c r="BD74" i="1"/>
  <c r="AW74" i="1"/>
  <c r="AP74" i="1"/>
  <c r="I74" i="1" s="1"/>
  <c r="AO74" i="1"/>
  <c r="AL74" i="1"/>
  <c r="AK74" i="1"/>
  <c r="AJ74" i="1"/>
  <c r="AH74" i="1"/>
  <c r="AG74" i="1"/>
  <c r="AF74" i="1"/>
  <c r="AD74" i="1"/>
  <c r="AC74" i="1"/>
  <c r="AB74" i="1"/>
  <c r="Z74" i="1"/>
  <c r="J74" i="1"/>
  <c r="H74" i="1"/>
  <c r="BJ72" i="1"/>
  <c r="BI72" i="1"/>
  <c r="AE72" i="1" s="1"/>
  <c r="BH72" i="1"/>
  <c r="BF72" i="1"/>
  <c r="BD72" i="1"/>
  <c r="AW72" i="1"/>
  <c r="BC72" i="1" s="1"/>
  <c r="AV72" i="1"/>
  <c r="AP72" i="1"/>
  <c r="AX72" i="1" s="1"/>
  <c r="AO72" i="1"/>
  <c r="AL72" i="1"/>
  <c r="AK72" i="1"/>
  <c r="AJ72" i="1"/>
  <c r="AH72" i="1"/>
  <c r="AG72" i="1"/>
  <c r="AF72" i="1"/>
  <c r="AD72" i="1"/>
  <c r="AC72" i="1"/>
  <c r="AB72" i="1"/>
  <c r="Z72" i="1"/>
  <c r="J72" i="1"/>
  <c r="I72" i="1"/>
  <c r="H72" i="1"/>
  <c r="BJ70" i="1"/>
  <c r="BF70" i="1"/>
  <c r="BD70" i="1"/>
  <c r="AP70" i="1"/>
  <c r="BI70" i="1" s="1"/>
  <c r="AE70" i="1" s="1"/>
  <c r="AO70" i="1"/>
  <c r="H70" i="1" s="1"/>
  <c r="AL70" i="1"/>
  <c r="AK70" i="1"/>
  <c r="AJ70" i="1"/>
  <c r="AH70" i="1"/>
  <c r="AG70" i="1"/>
  <c r="AF70" i="1"/>
  <c r="AC70" i="1"/>
  <c r="AB70" i="1"/>
  <c r="Z70" i="1"/>
  <c r="J70" i="1"/>
  <c r="BJ68" i="1"/>
  <c r="BH68" i="1"/>
  <c r="AD68" i="1" s="1"/>
  <c r="BF68" i="1"/>
  <c r="BD68" i="1"/>
  <c r="AW68" i="1"/>
  <c r="AP68" i="1"/>
  <c r="BI68" i="1" s="1"/>
  <c r="AE68" i="1" s="1"/>
  <c r="AO68" i="1"/>
  <c r="AL68" i="1"/>
  <c r="AJ68" i="1"/>
  <c r="AH68" i="1"/>
  <c r="AG68" i="1"/>
  <c r="AF68" i="1"/>
  <c r="AC68" i="1"/>
  <c r="AB68" i="1"/>
  <c r="Z68" i="1"/>
  <c r="J68" i="1"/>
  <c r="AK68" i="1" s="1"/>
  <c r="H68" i="1"/>
  <c r="BJ66" i="1"/>
  <c r="BI66" i="1"/>
  <c r="AE66" i="1" s="1"/>
  <c r="BH66" i="1"/>
  <c r="AD66" i="1" s="1"/>
  <c r="BF66" i="1"/>
  <c r="BD66" i="1"/>
  <c r="AX66" i="1"/>
  <c r="AV66" i="1" s="1"/>
  <c r="AW66" i="1"/>
  <c r="AP66" i="1"/>
  <c r="AO66" i="1"/>
  <c r="AL66" i="1"/>
  <c r="AJ66" i="1"/>
  <c r="AH66" i="1"/>
  <c r="AG66" i="1"/>
  <c r="AF66" i="1"/>
  <c r="AC66" i="1"/>
  <c r="AB66" i="1"/>
  <c r="Z66" i="1"/>
  <c r="J66" i="1"/>
  <c r="AK66" i="1" s="1"/>
  <c r="I66" i="1"/>
  <c r="H66" i="1"/>
  <c r="BJ64" i="1"/>
  <c r="BI64" i="1"/>
  <c r="AE64" i="1" s="1"/>
  <c r="BH64" i="1"/>
  <c r="BF64" i="1"/>
  <c r="BD64" i="1"/>
  <c r="AW64" i="1"/>
  <c r="AV64" i="1"/>
  <c r="AP64" i="1"/>
  <c r="AX64" i="1" s="1"/>
  <c r="AO64" i="1"/>
  <c r="AL64" i="1"/>
  <c r="AJ64" i="1"/>
  <c r="AH64" i="1"/>
  <c r="AG64" i="1"/>
  <c r="AF64" i="1"/>
  <c r="AD64" i="1"/>
  <c r="AC64" i="1"/>
  <c r="AB64" i="1"/>
  <c r="Z64" i="1"/>
  <c r="J64" i="1"/>
  <c r="AK64" i="1" s="1"/>
  <c r="I64" i="1"/>
  <c r="H64" i="1"/>
  <c r="BJ62" i="1"/>
  <c r="BF62" i="1"/>
  <c r="BD62" i="1"/>
  <c r="AP62" i="1"/>
  <c r="AO62" i="1"/>
  <c r="AL62" i="1"/>
  <c r="AJ62" i="1"/>
  <c r="AH62" i="1"/>
  <c r="AG62" i="1"/>
  <c r="AF62" i="1"/>
  <c r="AC62" i="1"/>
  <c r="AB62" i="1"/>
  <c r="Z62" i="1"/>
  <c r="J62" i="1"/>
  <c r="AK62" i="1" s="1"/>
  <c r="BJ60" i="1"/>
  <c r="BF60" i="1"/>
  <c r="BD60" i="1"/>
  <c r="AW60" i="1"/>
  <c r="AP60" i="1"/>
  <c r="BI60" i="1" s="1"/>
  <c r="AE60" i="1" s="1"/>
  <c r="AO60" i="1"/>
  <c r="BH60" i="1" s="1"/>
  <c r="AL60" i="1"/>
  <c r="AK60" i="1"/>
  <c r="AJ60" i="1"/>
  <c r="AH60" i="1"/>
  <c r="AG60" i="1"/>
  <c r="AF60" i="1"/>
  <c r="AD60" i="1"/>
  <c r="AC60" i="1"/>
  <c r="AB60" i="1"/>
  <c r="Z60" i="1"/>
  <c r="J60" i="1"/>
  <c r="BJ58" i="1"/>
  <c r="BH58" i="1"/>
  <c r="BF58" i="1"/>
  <c r="BD58" i="1"/>
  <c r="AW58" i="1"/>
  <c r="AP58" i="1"/>
  <c r="BI58" i="1" s="1"/>
  <c r="AE58" i="1" s="1"/>
  <c r="AO58" i="1"/>
  <c r="AL58" i="1"/>
  <c r="AJ58" i="1"/>
  <c r="AH58" i="1"/>
  <c r="AG58" i="1"/>
  <c r="AF58" i="1"/>
  <c r="AD58" i="1"/>
  <c r="AC58" i="1"/>
  <c r="AB58" i="1"/>
  <c r="Z58" i="1"/>
  <c r="J58" i="1"/>
  <c r="AK58" i="1" s="1"/>
  <c r="H58" i="1"/>
  <c r="BJ56" i="1"/>
  <c r="BI56" i="1"/>
  <c r="BH56" i="1"/>
  <c r="AD56" i="1" s="1"/>
  <c r="BF56" i="1"/>
  <c r="BD56" i="1"/>
  <c r="AW56" i="1"/>
  <c r="BC56" i="1" s="1"/>
  <c r="AV56" i="1"/>
  <c r="AP56" i="1"/>
  <c r="AX56" i="1" s="1"/>
  <c r="AO56" i="1"/>
  <c r="AL56" i="1"/>
  <c r="AJ56" i="1"/>
  <c r="AH56" i="1"/>
  <c r="AG56" i="1"/>
  <c r="AF56" i="1"/>
  <c r="AE56" i="1"/>
  <c r="AC56" i="1"/>
  <c r="AB56" i="1"/>
  <c r="Z56" i="1"/>
  <c r="J56" i="1"/>
  <c r="AK56" i="1" s="1"/>
  <c r="I56" i="1"/>
  <c r="H56" i="1"/>
  <c r="BJ54" i="1"/>
  <c r="BF54" i="1"/>
  <c r="BD54" i="1"/>
  <c r="AW54" i="1"/>
  <c r="AP54" i="1"/>
  <c r="BI54" i="1" s="1"/>
  <c r="AO54" i="1"/>
  <c r="H54" i="1" s="1"/>
  <c r="AL54" i="1"/>
  <c r="AK54" i="1"/>
  <c r="AJ54" i="1"/>
  <c r="AH54" i="1"/>
  <c r="AG54" i="1"/>
  <c r="AF54" i="1"/>
  <c r="AE54" i="1"/>
  <c r="AC54" i="1"/>
  <c r="AB54" i="1"/>
  <c r="Z54" i="1"/>
  <c r="J54" i="1"/>
  <c r="I54" i="1"/>
  <c r="BJ51" i="1"/>
  <c r="BF51" i="1"/>
  <c r="BD51" i="1"/>
  <c r="AX51" i="1"/>
  <c r="AP51" i="1"/>
  <c r="BI51" i="1" s="1"/>
  <c r="AE51" i="1" s="1"/>
  <c r="AO51" i="1"/>
  <c r="AL51" i="1"/>
  <c r="AK51" i="1"/>
  <c r="AJ51" i="1"/>
  <c r="AH51" i="1"/>
  <c r="AG51" i="1"/>
  <c r="AF51" i="1"/>
  <c r="AC51" i="1"/>
  <c r="AB51" i="1"/>
  <c r="Z51" i="1"/>
  <c r="J51" i="1"/>
  <c r="I51" i="1"/>
  <c r="BJ48" i="1"/>
  <c r="BH48" i="1"/>
  <c r="BF48" i="1"/>
  <c r="BD48" i="1"/>
  <c r="AW48" i="1"/>
  <c r="AP48" i="1"/>
  <c r="I48" i="1" s="1"/>
  <c r="AO48" i="1"/>
  <c r="AL48" i="1"/>
  <c r="AK48" i="1"/>
  <c r="AJ48" i="1"/>
  <c r="AH48" i="1"/>
  <c r="AG48" i="1"/>
  <c r="AF48" i="1"/>
  <c r="AD48" i="1"/>
  <c r="AC48" i="1"/>
  <c r="AB48" i="1"/>
  <c r="Z48" i="1"/>
  <c r="J48" i="1"/>
  <c r="H48" i="1"/>
  <c r="BJ47" i="1"/>
  <c r="BI47" i="1"/>
  <c r="AE47" i="1" s="1"/>
  <c r="BH47" i="1"/>
  <c r="AD47" i="1" s="1"/>
  <c r="BF47" i="1"/>
  <c r="BD47" i="1"/>
  <c r="AW47" i="1"/>
  <c r="AP47" i="1"/>
  <c r="AX47" i="1" s="1"/>
  <c r="AV47" i="1" s="1"/>
  <c r="AO47" i="1"/>
  <c r="AL47" i="1"/>
  <c r="AJ47" i="1"/>
  <c r="AH47" i="1"/>
  <c r="AG47" i="1"/>
  <c r="AF47" i="1"/>
  <c r="AC47" i="1"/>
  <c r="AB47" i="1"/>
  <c r="Z47" i="1"/>
  <c r="J47" i="1"/>
  <c r="AK47" i="1" s="1"/>
  <c r="I47" i="1"/>
  <c r="H47" i="1"/>
  <c r="BJ46" i="1"/>
  <c r="BH46" i="1"/>
  <c r="AD46" i="1" s="1"/>
  <c r="BF46" i="1"/>
  <c r="BD46" i="1"/>
  <c r="AX46" i="1"/>
  <c r="AW46" i="1"/>
  <c r="BC46" i="1" s="1"/>
  <c r="AP46" i="1"/>
  <c r="BI46" i="1" s="1"/>
  <c r="AO46" i="1"/>
  <c r="H46" i="1" s="1"/>
  <c r="AL46" i="1"/>
  <c r="AJ46" i="1"/>
  <c r="AH46" i="1"/>
  <c r="AG46" i="1"/>
  <c r="AF46" i="1"/>
  <c r="AE46" i="1"/>
  <c r="AC46" i="1"/>
  <c r="AB46" i="1"/>
  <c r="Z46" i="1"/>
  <c r="J46" i="1"/>
  <c r="AK46" i="1" s="1"/>
  <c r="I46" i="1"/>
  <c r="BJ45" i="1"/>
  <c r="BI45" i="1"/>
  <c r="AE45" i="1" s="1"/>
  <c r="BH45" i="1"/>
  <c r="AD45" i="1" s="1"/>
  <c r="BF45" i="1"/>
  <c r="BD45" i="1"/>
  <c r="AX45" i="1"/>
  <c r="AP45" i="1"/>
  <c r="AO45" i="1"/>
  <c r="AW45" i="1" s="1"/>
  <c r="BC45" i="1" s="1"/>
  <c r="AL45" i="1"/>
  <c r="AJ45" i="1"/>
  <c r="AH45" i="1"/>
  <c r="AG45" i="1"/>
  <c r="AF45" i="1"/>
  <c r="AC45" i="1"/>
  <c r="AB45" i="1"/>
  <c r="Z45" i="1"/>
  <c r="J45" i="1"/>
  <c r="AK45" i="1" s="1"/>
  <c r="I45" i="1"/>
  <c r="H45" i="1"/>
  <c r="BJ43" i="1"/>
  <c r="BH43" i="1"/>
  <c r="BF43" i="1"/>
  <c r="BD43" i="1"/>
  <c r="AX43" i="1"/>
  <c r="AW43" i="1"/>
  <c r="AV43" i="1"/>
  <c r="AP43" i="1"/>
  <c r="BI43" i="1" s="1"/>
  <c r="AE43" i="1" s="1"/>
  <c r="AO43" i="1"/>
  <c r="AL43" i="1"/>
  <c r="AK43" i="1"/>
  <c r="AJ43" i="1"/>
  <c r="AH43" i="1"/>
  <c r="AG43" i="1"/>
  <c r="AF43" i="1"/>
  <c r="AD43" i="1"/>
  <c r="AC43" i="1"/>
  <c r="AB43" i="1"/>
  <c r="Z43" i="1"/>
  <c r="J43" i="1"/>
  <c r="H43" i="1"/>
  <c r="BJ41" i="1"/>
  <c r="BI41" i="1"/>
  <c r="BH41" i="1"/>
  <c r="AD41" i="1" s="1"/>
  <c r="BF41" i="1"/>
  <c r="BD41" i="1"/>
  <c r="AW41" i="1"/>
  <c r="AP41" i="1"/>
  <c r="AX41" i="1" s="1"/>
  <c r="AV41" i="1" s="1"/>
  <c r="AO41" i="1"/>
  <c r="AL41" i="1"/>
  <c r="AK41" i="1"/>
  <c r="AJ41" i="1"/>
  <c r="AH41" i="1"/>
  <c r="AG41" i="1"/>
  <c r="AF41" i="1"/>
  <c r="AE41" i="1"/>
  <c r="AC41" i="1"/>
  <c r="AB41" i="1"/>
  <c r="Z41" i="1"/>
  <c r="J41" i="1"/>
  <c r="I41" i="1"/>
  <c r="H41" i="1"/>
  <c r="BJ39" i="1"/>
  <c r="BF39" i="1"/>
  <c r="BD39" i="1"/>
  <c r="AP39" i="1"/>
  <c r="BI39" i="1" s="1"/>
  <c r="AE39" i="1" s="1"/>
  <c r="AO39" i="1"/>
  <c r="H39" i="1" s="1"/>
  <c r="AL39" i="1"/>
  <c r="AK39" i="1"/>
  <c r="AJ39" i="1"/>
  <c r="AH39" i="1"/>
  <c r="AG39" i="1"/>
  <c r="AF39" i="1"/>
  <c r="AC39" i="1"/>
  <c r="AB39" i="1"/>
  <c r="Z39" i="1"/>
  <c r="J39" i="1"/>
  <c r="BJ37" i="1"/>
  <c r="BF37" i="1"/>
  <c r="BD37" i="1"/>
  <c r="AP37" i="1"/>
  <c r="I37" i="1" s="1"/>
  <c r="AO37" i="1"/>
  <c r="H37" i="1" s="1"/>
  <c r="AL37" i="1"/>
  <c r="AJ37" i="1"/>
  <c r="AH37" i="1"/>
  <c r="AG37" i="1"/>
  <c r="AF37" i="1"/>
  <c r="AC37" i="1"/>
  <c r="AB37" i="1"/>
  <c r="Z37" i="1"/>
  <c r="J37" i="1"/>
  <c r="AK37" i="1" s="1"/>
  <c r="BJ36" i="1"/>
  <c r="BI36" i="1"/>
  <c r="BH36" i="1"/>
  <c r="AD36" i="1" s="1"/>
  <c r="BF36" i="1"/>
  <c r="BD36" i="1"/>
  <c r="AX36" i="1"/>
  <c r="AV36" i="1" s="1"/>
  <c r="AW36" i="1"/>
  <c r="AP36" i="1"/>
  <c r="AO36" i="1"/>
  <c r="AL36" i="1"/>
  <c r="AJ36" i="1"/>
  <c r="AH36" i="1"/>
  <c r="AG36" i="1"/>
  <c r="AF36" i="1"/>
  <c r="AE36" i="1"/>
  <c r="AC36" i="1"/>
  <c r="AB36" i="1"/>
  <c r="Z36" i="1"/>
  <c r="J36" i="1"/>
  <c r="AK36" i="1" s="1"/>
  <c r="I36" i="1"/>
  <c r="H36" i="1"/>
  <c r="BJ34" i="1"/>
  <c r="BI34" i="1"/>
  <c r="AE34" i="1" s="1"/>
  <c r="BH34" i="1"/>
  <c r="BF34" i="1"/>
  <c r="BD34" i="1"/>
  <c r="AX34" i="1"/>
  <c r="AW34" i="1"/>
  <c r="BC34" i="1" s="1"/>
  <c r="AV34" i="1"/>
  <c r="AP34" i="1"/>
  <c r="AO34" i="1"/>
  <c r="AL34" i="1"/>
  <c r="AJ34" i="1"/>
  <c r="AH34" i="1"/>
  <c r="AG34" i="1"/>
  <c r="AF34" i="1"/>
  <c r="AD34" i="1"/>
  <c r="AC34" i="1"/>
  <c r="AB34" i="1"/>
  <c r="Z34" i="1"/>
  <c r="J34" i="1"/>
  <c r="AK34" i="1" s="1"/>
  <c r="I34" i="1"/>
  <c r="H34" i="1"/>
  <c r="BJ31" i="1"/>
  <c r="BF31" i="1"/>
  <c r="BD31" i="1"/>
  <c r="AP31" i="1"/>
  <c r="BI31" i="1" s="1"/>
  <c r="AE31" i="1" s="1"/>
  <c r="AO31" i="1"/>
  <c r="BH31" i="1" s="1"/>
  <c r="AD31" i="1" s="1"/>
  <c r="AL31" i="1"/>
  <c r="AK31" i="1"/>
  <c r="AJ31" i="1"/>
  <c r="AH31" i="1"/>
  <c r="AG31" i="1"/>
  <c r="AF31" i="1"/>
  <c r="AC31" i="1"/>
  <c r="AB31" i="1"/>
  <c r="Z31" i="1"/>
  <c r="J31" i="1"/>
  <c r="BJ30" i="1"/>
  <c r="BI30" i="1"/>
  <c r="AE30" i="1" s="1"/>
  <c r="BH30" i="1"/>
  <c r="AD30" i="1" s="1"/>
  <c r="BF30" i="1"/>
  <c r="BD30" i="1"/>
  <c r="AX30" i="1"/>
  <c r="AW30" i="1"/>
  <c r="BC30" i="1" s="1"/>
  <c r="AP30" i="1"/>
  <c r="AO30" i="1"/>
  <c r="AL30" i="1"/>
  <c r="AJ30" i="1"/>
  <c r="AH30" i="1"/>
  <c r="AG30" i="1"/>
  <c r="AF30" i="1"/>
  <c r="AC30" i="1"/>
  <c r="AB30" i="1"/>
  <c r="Z30" i="1"/>
  <c r="J30" i="1"/>
  <c r="AK30" i="1" s="1"/>
  <c r="I30" i="1"/>
  <c r="H30" i="1"/>
  <c r="BJ29" i="1"/>
  <c r="BI29" i="1"/>
  <c r="AE29" i="1" s="1"/>
  <c r="BF29" i="1"/>
  <c r="BD29" i="1"/>
  <c r="AX29" i="1"/>
  <c r="AP29" i="1"/>
  <c r="AO29" i="1"/>
  <c r="H29" i="1" s="1"/>
  <c r="AL29" i="1"/>
  <c r="AJ29" i="1"/>
  <c r="AH29" i="1"/>
  <c r="AG29" i="1"/>
  <c r="AF29" i="1"/>
  <c r="AC29" i="1"/>
  <c r="AB29" i="1"/>
  <c r="Z29" i="1"/>
  <c r="J29" i="1"/>
  <c r="AK29" i="1" s="1"/>
  <c r="I29" i="1"/>
  <c r="BJ28" i="1"/>
  <c r="BF28" i="1"/>
  <c r="BD28" i="1"/>
  <c r="AP28" i="1"/>
  <c r="I28" i="1" s="1"/>
  <c r="AO28" i="1"/>
  <c r="BH28" i="1" s="1"/>
  <c r="AD28" i="1" s="1"/>
  <c r="AL28" i="1"/>
  <c r="AU27" i="1" s="1"/>
  <c r="AK28" i="1"/>
  <c r="AT27" i="1" s="1"/>
  <c r="AJ28" i="1"/>
  <c r="AH28" i="1"/>
  <c r="AG28" i="1"/>
  <c r="AF28" i="1"/>
  <c r="AC28" i="1"/>
  <c r="AB28" i="1"/>
  <c r="Z28" i="1"/>
  <c r="J28" i="1"/>
  <c r="J27" i="1"/>
  <c r="BJ25" i="1"/>
  <c r="BI25" i="1"/>
  <c r="AE25" i="1" s="1"/>
  <c r="BH25" i="1"/>
  <c r="AD25" i="1" s="1"/>
  <c r="BF25" i="1"/>
  <c r="BD25" i="1"/>
  <c r="AX25" i="1"/>
  <c r="BC25" i="1" s="1"/>
  <c r="AW25" i="1"/>
  <c r="AP25" i="1"/>
  <c r="AO25" i="1"/>
  <c r="AL25" i="1"/>
  <c r="AJ25" i="1"/>
  <c r="AH25" i="1"/>
  <c r="AG25" i="1"/>
  <c r="AF25" i="1"/>
  <c r="AC25" i="1"/>
  <c r="AB25" i="1"/>
  <c r="Z25" i="1"/>
  <c r="J25" i="1"/>
  <c r="AK25" i="1" s="1"/>
  <c r="I25" i="1"/>
  <c r="H25" i="1"/>
  <c r="BJ22" i="1"/>
  <c r="BI22" i="1"/>
  <c r="AE22" i="1" s="1"/>
  <c r="BH22" i="1"/>
  <c r="AD22" i="1" s="1"/>
  <c r="BF22" i="1"/>
  <c r="BD22" i="1"/>
  <c r="AX22" i="1"/>
  <c r="AP22" i="1"/>
  <c r="I22" i="1" s="1"/>
  <c r="AO22" i="1"/>
  <c r="AL22" i="1"/>
  <c r="AK22" i="1"/>
  <c r="AJ22" i="1"/>
  <c r="AS21" i="1" s="1"/>
  <c r="AH22" i="1"/>
  <c r="AG22" i="1"/>
  <c r="AF22" i="1"/>
  <c r="AC22" i="1"/>
  <c r="AB22" i="1"/>
  <c r="Z22" i="1"/>
  <c r="J22" i="1"/>
  <c r="AU21" i="1"/>
  <c r="AT21" i="1"/>
  <c r="I21" i="1"/>
  <c r="BJ19" i="1"/>
  <c r="BI19" i="1"/>
  <c r="AE19" i="1" s="1"/>
  <c r="BH19" i="1"/>
  <c r="BF19" i="1"/>
  <c r="BD19" i="1"/>
  <c r="AX19" i="1"/>
  <c r="AW19" i="1"/>
  <c r="AV19" i="1" s="1"/>
  <c r="AP19" i="1"/>
  <c r="AO19" i="1"/>
  <c r="AL19" i="1"/>
  <c r="AJ19" i="1"/>
  <c r="AH19" i="1"/>
  <c r="AG19" i="1"/>
  <c r="AF19" i="1"/>
  <c r="AD19" i="1"/>
  <c r="AC19" i="1"/>
  <c r="AB19" i="1"/>
  <c r="Z19" i="1"/>
  <c r="J19" i="1"/>
  <c r="AK19" i="1" s="1"/>
  <c r="AT18" i="1" s="1"/>
  <c r="I19" i="1"/>
  <c r="I18" i="1" s="1"/>
  <c r="H19" i="1"/>
  <c r="H18" i="1" s="1"/>
  <c r="AU18" i="1"/>
  <c r="AS18" i="1"/>
  <c r="BJ16" i="1"/>
  <c r="BF16" i="1"/>
  <c r="BD16" i="1"/>
  <c r="AP16" i="1"/>
  <c r="AO16" i="1"/>
  <c r="AW16" i="1" s="1"/>
  <c r="AL16" i="1"/>
  <c r="AK16" i="1"/>
  <c r="AJ16" i="1"/>
  <c r="AH16" i="1"/>
  <c r="AG16" i="1"/>
  <c r="AF16" i="1"/>
  <c r="AE16" i="1"/>
  <c r="AD16" i="1"/>
  <c r="Z16" i="1"/>
  <c r="J16" i="1"/>
  <c r="BJ14" i="1"/>
  <c r="BF14" i="1"/>
  <c r="BD14" i="1"/>
  <c r="AP14" i="1"/>
  <c r="BI14" i="1" s="1"/>
  <c r="AC14" i="1" s="1"/>
  <c r="AO14" i="1"/>
  <c r="BH14" i="1" s="1"/>
  <c r="AB14" i="1" s="1"/>
  <c r="AL14" i="1"/>
  <c r="AK14" i="1"/>
  <c r="AJ14" i="1"/>
  <c r="AH14" i="1"/>
  <c r="AG14" i="1"/>
  <c r="AF14" i="1"/>
  <c r="AE14" i="1"/>
  <c r="AD14" i="1"/>
  <c r="Z14" i="1"/>
  <c r="J14" i="1"/>
  <c r="BJ13" i="1"/>
  <c r="BF13" i="1"/>
  <c r="BD13" i="1"/>
  <c r="AP13" i="1"/>
  <c r="BI13" i="1" s="1"/>
  <c r="AC13" i="1" s="1"/>
  <c r="AO13" i="1"/>
  <c r="H13" i="1" s="1"/>
  <c r="AL13" i="1"/>
  <c r="AJ13" i="1"/>
  <c r="AH13" i="1"/>
  <c r="AG13" i="1"/>
  <c r="AF13" i="1"/>
  <c r="AE13" i="1"/>
  <c r="AD13" i="1"/>
  <c r="Z13" i="1"/>
  <c r="J13" i="1"/>
  <c r="AK13" i="1" s="1"/>
  <c r="AU1" i="1"/>
  <c r="AT1" i="1"/>
  <c r="AS1" i="1"/>
  <c r="J246" i="1" l="1"/>
  <c r="AO247" i="1"/>
  <c r="BH247" i="1" s="1"/>
  <c r="AS12" i="1"/>
  <c r="J12" i="1"/>
  <c r="AT12" i="1"/>
  <c r="AU12" i="1"/>
  <c r="AP247" i="1"/>
  <c r="BI247" i="1" s="1"/>
  <c r="C20" i="2"/>
  <c r="C27" i="2"/>
  <c r="BC68" i="1"/>
  <c r="BC126" i="1"/>
  <c r="BC131" i="1"/>
  <c r="BC94" i="1"/>
  <c r="AV94" i="1"/>
  <c r="BC141" i="1"/>
  <c r="H12" i="1"/>
  <c r="BC102" i="1"/>
  <c r="AV102" i="1"/>
  <c r="BC119" i="1"/>
  <c r="AV119" i="1"/>
  <c r="H127" i="1"/>
  <c r="BC176" i="1"/>
  <c r="BC242" i="1"/>
  <c r="AV242" i="1"/>
  <c r="BC172" i="1"/>
  <c r="AV172" i="1"/>
  <c r="BC157" i="1"/>
  <c r="BC228" i="1"/>
  <c r="AV228" i="1"/>
  <c r="AT33" i="1"/>
  <c r="AV169" i="1"/>
  <c r="BC169" i="1"/>
  <c r="AV16" i="1"/>
  <c r="BC16" i="1"/>
  <c r="H184" i="1"/>
  <c r="BC36" i="1"/>
  <c r="I172" i="1"/>
  <c r="BI172" i="1"/>
  <c r="AC172" i="1" s="1"/>
  <c r="BI191" i="1"/>
  <c r="AG191" i="1" s="1"/>
  <c r="I191" i="1"/>
  <c r="BI192" i="1"/>
  <c r="AG192" i="1" s="1"/>
  <c r="AX192" i="1"/>
  <c r="AV192" i="1" s="1"/>
  <c r="I192" i="1"/>
  <c r="AX198" i="1"/>
  <c r="AW199" i="1"/>
  <c r="H207" i="1"/>
  <c r="BH207" i="1"/>
  <c r="AF207" i="1" s="1"/>
  <c r="F14" i="2"/>
  <c r="F22" i="2" s="1"/>
  <c r="I107" i="1"/>
  <c r="BI107" i="1"/>
  <c r="AE107" i="1" s="1"/>
  <c r="AV161" i="1"/>
  <c r="BC161" i="1"/>
  <c r="BC66" i="1"/>
  <c r="AX68" i="1"/>
  <c r="AV68" i="1" s="1"/>
  <c r="BC165" i="1"/>
  <c r="AX37" i="1"/>
  <c r="AX48" i="1"/>
  <c r="AV48" i="1" s="1"/>
  <c r="BH51" i="1"/>
  <c r="AD51" i="1" s="1"/>
  <c r="H51" i="1"/>
  <c r="AW51" i="1"/>
  <c r="AW70" i="1"/>
  <c r="J156" i="1"/>
  <c r="BI163" i="1"/>
  <c r="AC163" i="1" s="1"/>
  <c r="AW190" i="1"/>
  <c r="BH190" i="1"/>
  <c r="AF190" i="1" s="1"/>
  <c r="BH197" i="1"/>
  <c r="AF197" i="1" s="1"/>
  <c r="AW197" i="1"/>
  <c r="BH203" i="1"/>
  <c r="AF203" i="1" s="1"/>
  <c r="AW203" i="1"/>
  <c r="H203" i="1"/>
  <c r="BI209" i="1"/>
  <c r="AG209" i="1" s="1"/>
  <c r="I209" i="1"/>
  <c r="AX209" i="1"/>
  <c r="BC209" i="1" s="1"/>
  <c r="J21" i="1"/>
  <c r="AV30" i="1"/>
  <c r="AX70" i="1"/>
  <c r="AV120" i="1"/>
  <c r="AX129" i="1"/>
  <c r="BC129" i="1" s="1"/>
  <c r="BH136" i="1"/>
  <c r="AB136" i="1" s="1"/>
  <c r="H136" i="1"/>
  <c r="AW136" i="1"/>
  <c r="BI167" i="1"/>
  <c r="AC167" i="1" s="1"/>
  <c r="AW170" i="1"/>
  <c r="BH187" i="1"/>
  <c r="AF187" i="1" s="1"/>
  <c r="H187" i="1"/>
  <c r="BH189" i="1"/>
  <c r="AF189" i="1" s="1"/>
  <c r="AW189" i="1"/>
  <c r="AW201" i="1"/>
  <c r="AX205" i="1"/>
  <c r="AW207" i="1"/>
  <c r="AV209" i="1"/>
  <c r="BH191" i="1"/>
  <c r="AF191" i="1" s="1"/>
  <c r="H191" i="1"/>
  <c r="AW135" i="1"/>
  <c r="H135" i="1"/>
  <c r="I163" i="1"/>
  <c r="AX170" i="1"/>
  <c r="AX172" i="1"/>
  <c r="BI187" i="1"/>
  <c r="AG187" i="1" s="1"/>
  <c r="AX187" i="1"/>
  <c r="AV187" i="1" s="1"/>
  <c r="AX191" i="1"/>
  <c r="BC191" i="1" s="1"/>
  <c r="AX201" i="1"/>
  <c r="I14" i="2"/>
  <c r="I22" i="2" s="1"/>
  <c r="AX167" i="1"/>
  <c r="AW13" i="1"/>
  <c r="BH13" i="1"/>
  <c r="AB13" i="1" s="1"/>
  <c r="J127" i="1"/>
  <c r="I135" i="1"/>
  <c r="BI135" i="1"/>
  <c r="AC135" i="1" s="1"/>
  <c r="H169" i="1"/>
  <c r="BH169" i="1"/>
  <c r="AB169" i="1" s="1"/>
  <c r="BH194" i="1"/>
  <c r="AF194" i="1" s="1"/>
  <c r="AV260" i="1"/>
  <c r="BC260" i="1"/>
  <c r="AW29" i="1"/>
  <c r="AV121" i="1"/>
  <c r="BI198" i="1"/>
  <c r="AG198" i="1" s="1"/>
  <c r="I226" i="1"/>
  <c r="AX226" i="1"/>
  <c r="H233" i="1"/>
  <c r="AW233" i="1"/>
  <c r="BH233" i="1"/>
  <c r="H255" i="1"/>
  <c r="AX13" i="1"/>
  <c r="BC54" i="1"/>
  <c r="AV54" i="1"/>
  <c r="BI37" i="1"/>
  <c r="AE37" i="1" s="1"/>
  <c r="I255" i="1"/>
  <c r="BH211" i="1"/>
  <c r="AF211" i="1" s="1"/>
  <c r="AW211" i="1"/>
  <c r="BH70" i="1"/>
  <c r="AD70" i="1" s="1"/>
  <c r="BH134" i="1"/>
  <c r="AB134" i="1" s="1"/>
  <c r="AW134" i="1"/>
  <c r="C21" i="2"/>
  <c r="BC41" i="1"/>
  <c r="H14" i="1"/>
  <c r="AW31" i="1"/>
  <c r="BH39" i="1"/>
  <c r="AD39" i="1" s="1"/>
  <c r="BH54" i="1"/>
  <c r="AD54" i="1" s="1"/>
  <c r="AX58" i="1"/>
  <c r="AV58" i="1" s="1"/>
  <c r="BC74" i="1"/>
  <c r="H82" i="1"/>
  <c r="AK124" i="1"/>
  <c r="AT118" i="1" s="1"/>
  <c r="BI129" i="1"/>
  <c r="AC129" i="1" s="1"/>
  <c r="C15" i="2" s="1"/>
  <c r="AX140" i="1"/>
  <c r="BC140" i="1" s="1"/>
  <c r="BH147" i="1"/>
  <c r="AB147" i="1" s="1"/>
  <c r="H147" i="1"/>
  <c r="AW147" i="1"/>
  <c r="H170" i="1"/>
  <c r="BC175" i="1"/>
  <c r="AW178" i="1"/>
  <c r="BI190" i="1"/>
  <c r="AG190" i="1" s="1"/>
  <c r="H194" i="1"/>
  <c r="BI197" i="1"/>
  <c r="AG197" i="1" s="1"/>
  <c r="H199" i="1"/>
  <c r="BI201" i="1"/>
  <c r="AG201" i="1" s="1"/>
  <c r="BI203" i="1"/>
  <c r="AG203" i="1" s="1"/>
  <c r="BI205" i="1"/>
  <c r="AG205" i="1" s="1"/>
  <c r="BH230" i="1"/>
  <c r="H230" i="1"/>
  <c r="AW230" i="1"/>
  <c r="BC236" i="1"/>
  <c r="AV236" i="1"/>
  <c r="BI119" i="1"/>
  <c r="AE119" i="1" s="1"/>
  <c r="I119" i="1"/>
  <c r="I118" i="1" s="1"/>
  <c r="BH172" i="1"/>
  <c r="AB172" i="1" s="1"/>
  <c r="H172" i="1"/>
  <c r="AW37" i="1"/>
  <c r="I13" i="1"/>
  <c r="I68" i="1"/>
  <c r="AX136" i="1"/>
  <c r="BI48" i="1"/>
  <c r="AE48" i="1" s="1"/>
  <c r="AX31" i="1"/>
  <c r="I39" i="1"/>
  <c r="H87" i="1"/>
  <c r="AW89" i="1"/>
  <c r="AX93" i="1"/>
  <c r="BC93" i="1" s="1"/>
  <c r="BI93" i="1"/>
  <c r="AE93" i="1" s="1"/>
  <c r="I93" i="1"/>
  <c r="AK116" i="1"/>
  <c r="AT112" i="1" s="1"/>
  <c r="AW132" i="1"/>
  <c r="BI136" i="1"/>
  <c r="AC136" i="1" s="1"/>
  <c r="I170" i="1"/>
  <c r="H201" i="1"/>
  <c r="BH225" i="1"/>
  <c r="AF225" i="1" s="1"/>
  <c r="AW225" i="1"/>
  <c r="H225" i="1"/>
  <c r="I230" i="1"/>
  <c r="AX230" i="1"/>
  <c r="BI230" i="1"/>
  <c r="AV240" i="1"/>
  <c r="AW14" i="1"/>
  <c r="AX74" i="1"/>
  <c r="AV74" i="1" s="1"/>
  <c r="AW144" i="1"/>
  <c r="H144" i="1"/>
  <c r="BC43" i="1"/>
  <c r="AV60" i="1"/>
  <c r="H62" i="1"/>
  <c r="H33" i="1" s="1"/>
  <c r="BH62" i="1"/>
  <c r="AD62" i="1" s="1"/>
  <c r="AV75" i="1"/>
  <c r="J81" i="1"/>
  <c r="AK84" i="1"/>
  <c r="AT81" i="1" s="1"/>
  <c r="AX89" i="1"/>
  <c r="BI91" i="1"/>
  <c r="AE91" i="1" s="1"/>
  <c r="AX91" i="1"/>
  <c r="BI114" i="1"/>
  <c r="AE114" i="1" s="1"/>
  <c r="I114" i="1"/>
  <c r="H115" i="1"/>
  <c r="BH115" i="1"/>
  <c r="AD115" i="1" s="1"/>
  <c r="AW115" i="1"/>
  <c r="AW123" i="1"/>
  <c r="AX132" i="1"/>
  <c r="BH135" i="1"/>
  <c r="AB135" i="1" s="1"/>
  <c r="AV141" i="1"/>
  <c r="I144" i="1"/>
  <c r="BI144" i="1"/>
  <c r="AC144" i="1" s="1"/>
  <c r="BH185" i="1"/>
  <c r="AF185" i="1" s="1"/>
  <c r="C18" i="2" s="1"/>
  <c r="J193" i="1"/>
  <c r="AK194" i="1"/>
  <c r="AT193" i="1" s="1"/>
  <c r="I222" i="1"/>
  <c r="AX222" i="1"/>
  <c r="AV223" i="1"/>
  <c r="BI225" i="1"/>
  <c r="AG225" i="1" s="1"/>
  <c r="I225" i="1"/>
  <c r="J262" i="1"/>
  <c r="AK263" i="1"/>
  <c r="AT262" i="1" s="1"/>
  <c r="BC47" i="1"/>
  <c r="BH37" i="1"/>
  <c r="AD37" i="1" s="1"/>
  <c r="I70" i="1"/>
  <c r="AX131" i="1"/>
  <c r="AV131" i="1" s="1"/>
  <c r="H116" i="1"/>
  <c r="AW116" i="1"/>
  <c r="BH143" i="1"/>
  <c r="AB143" i="1" s="1"/>
  <c r="AW143" i="1"/>
  <c r="H174" i="1"/>
  <c r="H190" i="1"/>
  <c r="H197" i="1"/>
  <c r="BI226" i="1"/>
  <c r="AG226" i="1" s="1"/>
  <c r="BH243" i="1"/>
  <c r="H243" i="1"/>
  <c r="BC263" i="1"/>
  <c r="AV263" i="1"/>
  <c r="I213" i="1"/>
  <c r="I193" i="1" s="1"/>
  <c r="BI213" i="1"/>
  <c r="AG213" i="1" s="1"/>
  <c r="AX213" i="1"/>
  <c r="AX107" i="1"/>
  <c r="AV194" i="1"/>
  <c r="BC194" i="1"/>
  <c r="AX14" i="1"/>
  <c r="AX60" i="1"/>
  <c r="BC60" i="1" s="1"/>
  <c r="I143" i="1"/>
  <c r="AX143" i="1"/>
  <c r="BI143" i="1"/>
  <c r="AC143" i="1" s="1"/>
  <c r="BH178" i="1"/>
  <c r="I185" i="1"/>
  <c r="I187" i="1"/>
  <c r="AV224" i="1"/>
  <c r="I243" i="1"/>
  <c r="AX243" i="1"/>
  <c r="H244" i="1"/>
  <c r="AW244" i="1"/>
  <c r="AT246" i="1"/>
  <c r="C29" i="2"/>
  <c r="F29" i="2" s="1"/>
  <c r="AX28" i="1"/>
  <c r="AW39" i="1"/>
  <c r="BC82" i="1"/>
  <c r="AV82" i="1"/>
  <c r="BI16" i="1"/>
  <c r="AC16" i="1" s="1"/>
  <c r="AX16" i="1"/>
  <c r="AX135" i="1"/>
  <c r="AS33" i="1"/>
  <c r="BH228" i="1"/>
  <c r="H228" i="1"/>
  <c r="I14" i="1"/>
  <c r="BI62" i="1"/>
  <c r="AE62" i="1" s="1"/>
  <c r="I62" i="1"/>
  <c r="AX62" i="1"/>
  <c r="H31" i="1"/>
  <c r="AW91" i="1"/>
  <c r="BI98" i="1"/>
  <c r="AE98" i="1" s="1"/>
  <c r="AX98" i="1"/>
  <c r="BC98" i="1" s="1"/>
  <c r="AW114" i="1"/>
  <c r="BI131" i="1"/>
  <c r="AC131" i="1" s="1"/>
  <c r="AX141" i="1"/>
  <c r="BC19" i="1"/>
  <c r="AV45" i="1"/>
  <c r="I58" i="1"/>
  <c r="AW62" i="1"/>
  <c r="H89" i="1"/>
  <c r="AX114" i="1"/>
  <c r="AX115" i="1"/>
  <c r="AW124" i="1"/>
  <c r="BI140" i="1"/>
  <c r="AC140" i="1" s="1"/>
  <c r="J174" i="1"/>
  <c r="AK175" i="1"/>
  <c r="AT174" i="1" s="1"/>
  <c r="BH221" i="1"/>
  <c r="AF221" i="1" s="1"/>
  <c r="AW221" i="1"/>
  <c r="AW243" i="1"/>
  <c r="AU246" i="1"/>
  <c r="H248" i="1"/>
  <c r="AW248" i="1"/>
  <c r="BH248" i="1"/>
  <c r="BH105" i="1"/>
  <c r="AD105" i="1" s="1"/>
  <c r="AW105" i="1"/>
  <c r="I105" i="1"/>
  <c r="AX105" i="1"/>
  <c r="BI105" i="1"/>
  <c r="AE105" i="1" s="1"/>
  <c r="BH192" i="1"/>
  <c r="AF192" i="1" s="1"/>
  <c r="H192" i="1"/>
  <c r="BH16" i="1"/>
  <c r="AB16" i="1" s="1"/>
  <c r="H16" i="1"/>
  <c r="BI28" i="1"/>
  <c r="AE28" i="1" s="1"/>
  <c r="C17" i="2" s="1"/>
  <c r="BI176" i="1"/>
  <c r="I176" i="1"/>
  <c r="I174" i="1" s="1"/>
  <c r="BC196" i="1"/>
  <c r="BH94" i="1"/>
  <c r="AD94" i="1" s="1"/>
  <c r="H94" i="1"/>
  <c r="I134" i="1"/>
  <c r="AX134" i="1"/>
  <c r="BI134" i="1"/>
  <c r="AC134" i="1" s="1"/>
  <c r="I178" i="1"/>
  <c r="AX178" i="1"/>
  <c r="H211" i="1"/>
  <c r="AU33" i="1"/>
  <c r="J18" i="1"/>
  <c r="H22" i="1"/>
  <c r="H21" i="1" s="1"/>
  <c r="AW22" i="1"/>
  <c r="I31" i="1"/>
  <c r="I27" i="1" s="1"/>
  <c r="BI74" i="1"/>
  <c r="AE74" i="1" s="1"/>
  <c r="I43" i="1"/>
  <c r="I33" i="1" s="1"/>
  <c r="AW76" i="1"/>
  <c r="I89" i="1"/>
  <c r="I81" i="1" s="1"/>
  <c r="BI94" i="1"/>
  <c r="AE94" i="1" s="1"/>
  <c r="H112" i="1"/>
  <c r="H123" i="1"/>
  <c r="AX124" i="1"/>
  <c r="H132" i="1"/>
  <c r="AW142" i="1"/>
  <c r="BI147" i="1"/>
  <c r="AC147" i="1" s="1"/>
  <c r="BI181" i="1"/>
  <c r="I181" i="1"/>
  <c r="I180" i="1" s="1"/>
  <c r="AV215" i="1"/>
  <c r="BC215" i="1"/>
  <c r="BI221" i="1"/>
  <c r="AG221" i="1" s="1"/>
  <c r="I221" i="1"/>
  <c r="BC224" i="1"/>
  <c r="AV252" i="1"/>
  <c r="I157" i="1"/>
  <c r="BI157" i="1"/>
  <c r="AC157" i="1" s="1"/>
  <c r="J33" i="1"/>
  <c r="H28" i="1"/>
  <c r="AW28" i="1"/>
  <c r="H119" i="1"/>
  <c r="BH119" i="1"/>
  <c r="AD119" i="1" s="1"/>
  <c r="BH29" i="1"/>
  <c r="AD29" i="1" s="1"/>
  <c r="C16" i="2" s="1"/>
  <c r="AX39" i="1"/>
  <c r="H105" i="1"/>
  <c r="H104" i="1" s="1"/>
  <c r="I16" i="1"/>
  <c r="H60" i="1"/>
  <c r="AX76" i="1"/>
  <c r="BH96" i="1"/>
  <c r="AD96" i="1" s="1"/>
  <c r="I112" i="1"/>
  <c r="BH126" i="1"/>
  <c r="AD126" i="1" s="1"/>
  <c r="H126" i="1"/>
  <c r="H125" i="1" s="1"/>
  <c r="I132" i="1"/>
  <c r="H134" i="1"/>
  <c r="H141" i="1"/>
  <c r="AX142" i="1"/>
  <c r="BH144" i="1"/>
  <c r="AB144" i="1" s="1"/>
  <c r="H159" i="1"/>
  <c r="AW159" i="1"/>
  <c r="BH159" i="1"/>
  <c r="AB159" i="1" s="1"/>
  <c r="BH161" i="1"/>
  <c r="AB161" i="1" s="1"/>
  <c r="H161" i="1"/>
  <c r="BI222" i="1"/>
  <c r="AG222" i="1" s="1"/>
  <c r="AK234" i="1"/>
  <c r="AT227" i="1" s="1"/>
  <c r="J227" i="1"/>
  <c r="BH266" i="1"/>
  <c r="H266" i="1"/>
  <c r="H265" i="1" s="1"/>
  <c r="I267" i="1"/>
  <c r="AX267" i="1"/>
  <c r="BC163" i="1"/>
  <c r="AV163" i="1"/>
  <c r="AV25" i="1"/>
  <c r="AS27" i="1"/>
  <c r="AV46" i="1"/>
  <c r="I60" i="1"/>
  <c r="H91" i="1"/>
  <c r="H96" i="1"/>
  <c r="AT104" i="1"/>
  <c r="AW107" i="1"/>
  <c r="H107" i="1"/>
  <c r="BI115" i="1"/>
  <c r="AE115" i="1" s="1"/>
  <c r="BH116" i="1"/>
  <c r="AD116" i="1" s="1"/>
  <c r="BI126" i="1"/>
  <c r="AE126" i="1" s="1"/>
  <c r="I126" i="1"/>
  <c r="I125" i="1" s="1"/>
  <c r="AX126" i="1"/>
  <c r="AV126" i="1" s="1"/>
  <c r="BH157" i="1"/>
  <c r="AB157" i="1" s="1"/>
  <c r="H157" i="1"/>
  <c r="BC181" i="1"/>
  <c r="BI266" i="1"/>
  <c r="AX266" i="1"/>
  <c r="AV266" i="1" s="1"/>
  <c r="I266" i="1"/>
  <c r="I265" i="1" s="1"/>
  <c r="AT258" i="1"/>
  <c r="AU81" i="1"/>
  <c r="AX247" i="1"/>
  <c r="BI259" i="1"/>
  <c r="AX259" i="1"/>
  <c r="BC250" i="1"/>
  <c r="AV250" i="1"/>
  <c r="BC259" i="1"/>
  <c r="AV259" i="1"/>
  <c r="BC64" i="1"/>
  <c r="BI82" i="1"/>
  <c r="AE82" i="1" s="1"/>
  <c r="AX82" i="1"/>
  <c r="AT127" i="1"/>
  <c r="AX211" i="1"/>
  <c r="BH238" i="1"/>
  <c r="H238" i="1"/>
  <c r="AV269" i="1"/>
  <c r="AX96" i="1"/>
  <c r="AV96" i="1" s="1"/>
  <c r="H209" i="1"/>
  <c r="I218" i="1"/>
  <c r="AX218" i="1"/>
  <c r="I238" i="1"/>
  <c r="AX238" i="1"/>
  <c r="AV238" i="1" s="1"/>
  <c r="H239" i="1"/>
  <c r="AW239" i="1"/>
  <c r="BC252" i="1"/>
  <c r="BH128" i="1"/>
  <c r="AB128" i="1" s="1"/>
  <c r="AW128" i="1"/>
  <c r="BH152" i="1"/>
  <c r="AB152" i="1" s="1"/>
  <c r="AW152" i="1"/>
  <c r="AV216" i="1"/>
  <c r="BH217" i="1"/>
  <c r="AF217" i="1" s="1"/>
  <c r="AW217" i="1"/>
  <c r="BH139" i="1"/>
  <c r="AB139" i="1" s="1"/>
  <c r="AW139" i="1"/>
  <c r="BI183" i="1"/>
  <c r="AG183" i="1" s="1"/>
  <c r="C19" i="2" s="1"/>
  <c r="AX183" i="1"/>
  <c r="BC183" i="1" s="1"/>
  <c r="AV261" i="1"/>
  <c r="AX54" i="1"/>
  <c r="AW110" i="1"/>
  <c r="I128" i="1"/>
  <c r="AX128" i="1"/>
  <c r="AV129" i="1"/>
  <c r="AW137" i="1"/>
  <c r="I139" i="1"/>
  <c r="AX139" i="1"/>
  <c r="AV140" i="1"/>
  <c r="AW150" i="1"/>
  <c r="I152" i="1"/>
  <c r="AX152" i="1"/>
  <c r="AV155" i="1"/>
  <c r="H167" i="1"/>
  <c r="AW167" i="1"/>
  <c r="AV183" i="1"/>
  <c r="BI211" i="1"/>
  <c r="AG211" i="1" s="1"/>
  <c r="BI217" i="1"/>
  <c r="AG217" i="1" s="1"/>
  <c r="I217" i="1"/>
  <c r="H258" i="1"/>
  <c r="I24" i="2"/>
  <c r="BH260" i="1"/>
  <c r="I228" i="1"/>
  <c r="I236" i="1"/>
  <c r="I242" i="1"/>
  <c r="H253" i="1"/>
  <c r="H269" i="1"/>
  <c r="H268" i="1" s="1"/>
  <c r="J258" i="1"/>
  <c r="AX189" i="1"/>
  <c r="AW198" i="1"/>
  <c r="AW205" i="1"/>
  <c r="AW213" i="1"/>
  <c r="AW218" i="1"/>
  <c r="AW222" i="1"/>
  <c r="AW226" i="1"/>
  <c r="AW267" i="1"/>
  <c r="H247" i="1" l="1"/>
  <c r="AW247" i="1"/>
  <c r="AV247" i="1" s="1"/>
  <c r="J270" i="1"/>
  <c r="I247" i="1"/>
  <c r="I246" i="1" s="1"/>
  <c r="BC128" i="1"/>
  <c r="AV128" i="1"/>
  <c r="I227" i="1"/>
  <c r="AV13" i="1"/>
  <c r="BC13" i="1"/>
  <c r="BC189" i="1"/>
  <c r="AV189" i="1"/>
  <c r="BC197" i="1"/>
  <c r="AV197" i="1"/>
  <c r="BC244" i="1"/>
  <c r="AV244" i="1"/>
  <c r="BC201" i="1"/>
  <c r="AV201" i="1"/>
  <c r="H246" i="1"/>
  <c r="H118" i="1"/>
  <c r="BC221" i="1"/>
  <c r="AV221" i="1"/>
  <c r="BC239" i="1"/>
  <c r="AV239" i="1"/>
  <c r="H81" i="1"/>
  <c r="BC225" i="1"/>
  <c r="AV225" i="1"/>
  <c r="BC91" i="1"/>
  <c r="AV91" i="1"/>
  <c r="C14" i="2"/>
  <c r="C22" i="2" s="1"/>
  <c r="H27" i="1"/>
  <c r="I184" i="1"/>
  <c r="AV191" i="1"/>
  <c r="BC31" i="1"/>
  <c r="AV31" i="1"/>
  <c r="BC70" i="1"/>
  <c r="AV70" i="1"/>
  <c r="AV226" i="1"/>
  <c r="BC226" i="1"/>
  <c r="AV218" i="1"/>
  <c r="BC218" i="1"/>
  <c r="BC62" i="1"/>
  <c r="AV62" i="1"/>
  <c r="BC29" i="1"/>
  <c r="AV29" i="1"/>
  <c r="BC187" i="1"/>
  <c r="BC203" i="1"/>
  <c r="AV203" i="1"/>
  <c r="BC110" i="1"/>
  <c r="AV110" i="1"/>
  <c r="BC238" i="1"/>
  <c r="BC142" i="1"/>
  <c r="AV142" i="1"/>
  <c r="AV137" i="1"/>
  <c r="BC137" i="1"/>
  <c r="AV159" i="1"/>
  <c r="BC159" i="1"/>
  <c r="BC76" i="1"/>
  <c r="AV76" i="1"/>
  <c r="BC58" i="1"/>
  <c r="AV267" i="1"/>
  <c r="BC267" i="1"/>
  <c r="AV98" i="1"/>
  <c r="BC51" i="1"/>
  <c r="AV51" i="1"/>
  <c r="AV222" i="1"/>
  <c r="BC222" i="1"/>
  <c r="AV167" i="1"/>
  <c r="BC167" i="1"/>
  <c r="BC123" i="1"/>
  <c r="AV123" i="1"/>
  <c r="AV205" i="1"/>
  <c r="BC205" i="1"/>
  <c r="AV243" i="1"/>
  <c r="BC243" i="1"/>
  <c r="AV207" i="1"/>
  <c r="BC207" i="1"/>
  <c r="BC132" i="1"/>
  <c r="AV132" i="1"/>
  <c r="BC124" i="1"/>
  <c r="AV124" i="1"/>
  <c r="H227" i="1"/>
  <c r="I156" i="1"/>
  <c r="AV213" i="1"/>
  <c r="BC213" i="1"/>
  <c r="I104" i="1"/>
  <c r="AV135" i="1"/>
  <c r="BC135" i="1"/>
  <c r="AV107" i="1"/>
  <c r="BC107" i="1"/>
  <c r="BC28" i="1"/>
  <c r="AV28" i="1"/>
  <c r="AV230" i="1"/>
  <c r="BC230" i="1"/>
  <c r="AV190" i="1"/>
  <c r="BC190" i="1"/>
  <c r="BC170" i="1"/>
  <c r="AV170" i="1"/>
  <c r="BC136" i="1"/>
  <c r="AV136" i="1"/>
  <c r="H193" i="1"/>
  <c r="AV105" i="1"/>
  <c r="BC105" i="1"/>
  <c r="AV178" i="1"/>
  <c r="BC178" i="1"/>
  <c r="BC39" i="1"/>
  <c r="AV39" i="1"/>
  <c r="BC266" i="1"/>
  <c r="BC211" i="1"/>
  <c r="AV211" i="1"/>
  <c r="BC192" i="1"/>
  <c r="AV93" i="1"/>
  <c r="AV199" i="1"/>
  <c r="BC199" i="1"/>
  <c r="BC143" i="1"/>
  <c r="AV143" i="1"/>
  <c r="BC89" i="1"/>
  <c r="AV89" i="1"/>
  <c r="C28" i="2"/>
  <c r="BC116" i="1"/>
  <c r="AV116" i="1"/>
  <c r="AV144" i="1"/>
  <c r="BC144" i="1"/>
  <c r="BC115" i="1"/>
  <c r="AV115" i="1"/>
  <c r="AV198" i="1"/>
  <c r="BC198" i="1"/>
  <c r="H156" i="1"/>
  <c r="J255" i="1"/>
  <c r="BC248" i="1"/>
  <c r="AV248" i="1"/>
  <c r="I12" i="1"/>
  <c r="I127" i="1"/>
  <c r="BC233" i="1"/>
  <c r="AV233" i="1"/>
  <c r="AV22" i="1"/>
  <c r="BC22" i="1"/>
  <c r="AV139" i="1"/>
  <c r="BC139" i="1"/>
  <c r="BC14" i="1"/>
  <c r="AV14" i="1"/>
  <c r="BC134" i="1"/>
  <c r="AV134" i="1"/>
  <c r="BC48" i="1"/>
  <c r="BC217" i="1"/>
  <c r="AV217" i="1"/>
  <c r="AV150" i="1"/>
  <c r="BC150" i="1"/>
  <c r="BC152" i="1"/>
  <c r="AV152" i="1"/>
  <c r="AV114" i="1"/>
  <c r="BC114" i="1"/>
  <c r="AV37" i="1"/>
  <c r="BC37" i="1"/>
  <c r="BC147" i="1"/>
  <c r="AV147" i="1"/>
  <c r="BC96" i="1"/>
  <c r="BC247" i="1" l="1"/>
  <c r="F28" i="2"/>
  <c r="I28" i="2"/>
  <c r="I29" i="2" l="1"/>
</calcChain>
</file>

<file path=xl/sharedStrings.xml><?xml version="1.0" encoding="utf-8"?>
<sst xmlns="http://schemas.openxmlformats.org/spreadsheetml/2006/main" count="2341" uniqueCount="751">
  <si>
    <t>Slepý stavební rozpočet</t>
  </si>
  <si>
    <t>Název stavby:</t>
  </si>
  <si>
    <t>Rekonstrukce stávající střechy, krovu a zateplení stropu nad 3. N. P.</t>
  </si>
  <si>
    <t>Doba výstavby:</t>
  </si>
  <si>
    <t xml:space="preserve"> </t>
  </si>
  <si>
    <t>Objednatel:</t>
  </si>
  <si>
    <t>Dětský domov Mariánské Lázně a Aš</t>
  </si>
  <si>
    <t>Druh stavby:</t>
  </si>
  <si>
    <t>Dětský domov Mariánské Lázně</t>
  </si>
  <si>
    <t>Začátek výstavby:</t>
  </si>
  <si>
    <t>14.08.2024</t>
  </si>
  <si>
    <t>Projektant:</t>
  </si>
  <si>
    <t> </t>
  </si>
  <si>
    <t>Lokalita:</t>
  </si>
  <si>
    <t>Palackého 191/101, Mariánské Lázně</t>
  </si>
  <si>
    <t>Konec výstavby:</t>
  </si>
  <si>
    <t>Zhotovitel:</t>
  </si>
  <si>
    <t>JKSO:</t>
  </si>
  <si>
    <t>Zpracováno dne:</t>
  </si>
  <si>
    <t>Zpracoval:</t>
  </si>
  <si>
    <t>Č</t>
  </si>
  <si>
    <t>Kód</t>
  </si>
  <si>
    <t>Zkrácený popis / Varianta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</si>
  <si>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</si>
  <si>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</si>
  <si>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</si>
  <si>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</si>
  <si>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</si>
  <si>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</si>
  <si>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</si>
  <si>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</si>
  <si>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</si>
  <si>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</si>
  <si>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</si>
  <si>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</si>
  <si>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</si>
  <si>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</si>
  <si>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</si>
  <si>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</si>
  <si>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</si>
  <si>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</si>
  <si>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</si>
  <si>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</si>
  <si>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</si>
  <si>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</si>
  <si>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</si>
  <si>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</si>
  <si>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</si>
  <si>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</si>
  <si>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</si>
  <si>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62</t>
  </si>
  <si>
    <t>Úprava povrchů vnější</t>
  </si>
  <si>
    <t>1</t>
  </si>
  <si>
    <t>620411135R00</t>
  </si>
  <si>
    <t>Nátěr vnější omítky akrylátový sl. 3, z lešení</t>
  </si>
  <si>
    <t>m2</t>
  </si>
  <si>
    <t>RTS II / 2024</t>
  </si>
  <si>
    <t>62_</t>
  </si>
  <si>
    <t>6_</t>
  </si>
  <si>
    <t>_</t>
  </si>
  <si>
    <t>2</t>
  </si>
  <si>
    <t>622421733R00</t>
  </si>
  <si>
    <t>Oprava vněj.om.vápenné štuk.stěn,sl.III,do 30%,SMS</t>
  </si>
  <si>
    <t>RTS komentář:</t>
  </si>
  <si>
    <t>Oprava omítky stupně členitosti III. Položka obsahuje doplnění omítky ve skladbě: vápenný památkářský postřik tl. 3 mm, vápenná památkářská omítka tl. 15 mm a vápenný památkářský štuk tl. 3 mm na 30 % plochy fasády</t>
  </si>
  <si>
    <t>3</t>
  </si>
  <si>
    <t>622421735R00</t>
  </si>
  <si>
    <t>Oprava vněj.om.vápenné štuk.stěn,sl.III,do 50%,SMS</t>
  </si>
  <si>
    <t>Oprava omítky stupně členitosti III. Položka obsahuje doplnění omítky ve skladbě: vápenný památkářský postřik tl. 3 mm, vápenná památkářská omítka tl. 15 mm a vápenný památkářský štuk tl. 3 mm na 50 % plochy fasády</t>
  </si>
  <si>
    <t>712</t>
  </si>
  <si>
    <t>Izolace střech (živičné krytiny)</t>
  </si>
  <si>
    <t>4</t>
  </si>
  <si>
    <t>712211111R00</t>
  </si>
  <si>
    <t>Montáž podstřešní vodotěsné fólie pod plechovou krytinu - střecha</t>
  </si>
  <si>
    <t>7</t>
  </si>
  <si>
    <t>712_</t>
  </si>
  <si>
    <t>71_</t>
  </si>
  <si>
    <t>Doporučená spotřeba 1,1 m2 asfaltovaného pásu na metr čtvereční</t>
  </si>
  <si>
    <t>713</t>
  </si>
  <si>
    <t>Izolace tepelné</t>
  </si>
  <si>
    <t>5</t>
  </si>
  <si>
    <t>713182211RT3</t>
  </si>
  <si>
    <t>Izolace foukaná, celulózová, do dutin stropů</t>
  </si>
  <si>
    <t>m3</t>
  </si>
  <si>
    <t>RTS I / 2023</t>
  </si>
  <si>
    <t>713_</t>
  </si>
  <si>
    <t>Varianta:</t>
  </si>
  <si>
    <t>Položka obsahuje náklady na dodávku a aplikaci materiálu, zřízení vstupů do dutin a náklady na jejich uzavření. Od měrných jednotek se odečítá objem konstrukcí v dutinách (trámy, komíny apod.).</t>
  </si>
  <si>
    <t>6</t>
  </si>
  <si>
    <t>713182231RT3</t>
  </si>
  <si>
    <t>Izolace foukaná, celulózová, do dutin svislých konstrukcí</t>
  </si>
  <si>
    <t>Položka obsahuje náklady na dodávku materiálu na zřízení vstupů do dutin, náklady na jejich uzavření. Od měrných jednotek se odečítá objem konstrukcí v dutinách (trámy, komíny apod.</t>
  </si>
  <si>
    <t>721</t>
  </si>
  <si>
    <t>Vnitřní kanalizace</t>
  </si>
  <si>
    <t>721170965R00</t>
  </si>
  <si>
    <t>Provedení opravy vnitřní kanalizace, potrubí plastové, propojení dosavadního potrubí, D 110 mm</t>
  </si>
  <si>
    <t>kus</t>
  </si>
  <si>
    <t>721_</t>
  </si>
  <si>
    <t>72_</t>
  </si>
  <si>
    <t>8</t>
  </si>
  <si>
    <t>721176115R00</t>
  </si>
  <si>
    <t>Potrubí odpadní svislé, D 110 x 2,7 mm</t>
  </si>
  <si>
    <t>m</t>
  </si>
  <si>
    <t>9</t>
  </si>
  <si>
    <t>721273145R00</t>
  </si>
  <si>
    <t>Nástavec větrací z PVC, D 110 mm, délka 930 mm</t>
  </si>
  <si>
    <t>10</t>
  </si>
  <si>
    <t>721273200RT3</t>
  </si>
  <si>
    <t>Souprava ventilační střešní hlavice pr. 110 mm</t>
  </si>
  <si>
    <t>souprava větrací hlavice 810  D 110 mm</t>
  </si>
  <si>
    <t>762</t>
  </si>
  <si>
    <t>Konstrukce tesařské</t>
  </si>
  <si>
    <t>11</t>
  </si>
  <si>
    <t>762084211R00</t>
  </si>
  <si>
    <t>Příplatek pro bednění a laťování ve výšce 4 - 12 m</t>
  </si>
  <si>
    <t>762_</t>
  </si>
  <si>
    <t>76_</t>
  </si>
  <si>
    <t>Příplatek za práce na střechách, na konstrukcích krovů, který je určen i pro práci bez pevné pracovní podlahy</t>
  </si>
  <si>
    <t>12</t>
  </si>
  <si>
    <t>762088116R00</t>
  </si>
  <si>
    <t>Zakrývání provizorní plachtou 15x20m,vč.odstranění</t>
  </si>
  <si>
    <t>13</t>
  </si>
  <si>
    <t>762131197RT3</t>
  </si>
  <si>
    <t>Montáž bednění stěn, prkna hr. 24 mm - komíny, včetně materiálu</t>
  </si>
  <si>
    <t>včetně dodávky řeziva, prkna tl. 24 mm</t>
  </si>
  <si>
    <t>14</t>
  </si>
  <si>
    <t>762313112R00</t>
  </si>
  <si>
    <t>Montáž svorníků, šroubů délky 300 mm</t>
  </si>
  <si>
    <t>Položka je určena pro montáž svorníků, šroubů. V položce nejsou zakalkulovány náklady na dodávku spojovacích prostředků.Tato dodávka se oceňuje ve specifikaci, ztratné se nedoporučuje</t>
  </si>
  <si>
    <t>15</t>
  </si>
  <si>
    <t>762322911RT2</t>
  </si>
  <si>
    <t>Zavětrování fošnami, kleštiny 60x140 mm dl. 3,6 m - 8 kusů</t>
  </si>
  <si>
    <t>včetně dodávky fošen 60 x 140 mm</t>
  </si>
  <si>
    <t>16</t>
  </si>
  <si>
    <t>Zavětrování fošnami, kleštiny 60x140 dl. 4,3 m - 2 kusy</t>
  </si>
  <si>
    <t>17</t>
  </si>
  <si>
    <t>762331912R00</t>
  </si>
  <si>
    <t>Vyřezání části střešní vazby do 120 cm2,do dl.5 m - poškozené krokve</t>
  </si>
  <si>
    <t>18</t>
  </si>
  <si>
    <t>762331913R00</t>
  </si>
  <si>
    <t>Vyřezání části střešní vazby do 120 cm2,do dl.8 m - vaznice, pozednice</t>
  </si>
  <si>
    <t>19</t>
  </si>
  <si>
    <t>762331934R00</t>
  </si>
  <si>
    <t>Vyřezání části střešní vazby do 288 cm2,nad dl.8 m</t>
  </si>
  <si>
    <t>20</t>
  </si>
  <si>
    <t>762332931RT3</t>
  </si>
  <si>
    <t>Doplnění střešní vazby z hranolů 100x120 mm vč.materiálu  - krokve</t>
  </si>
  <si>
    <t>hranolů 100 x 120 mm</t>
  </si>
  <si>
    <t>Množství doplnění střešní vazby se určuje v m součtem délek jednotlivých prvků</t>
  </si>
  <si>
    <t>21</t>
  </si>
  <si>
    <t>762332933RT3</t>
  </si>
  <si>
    <t>Doplnění střešní vazby z hranolů 140x170 vč.materiálu</t>
  </si>
  <si>
    <t>hranolů 140x170 mm</t>
  </si>
  <si>
    <t>22</t>
  </si>
  <si>
    <t>762341210RT2</t>
  </si>
  <si>
    <t>Montáž bednění střech rovných, prkna hrubá na sraz - zadní schody</t>
  </si>
  <si>
    <t>včetně dodávky prken tloušťky 24 mm</t>
  </si>
  <si>
    <t>23</t>
  </si>
  <si>
    <t>Montáž bednění střech rovných, prkna hrubá na sraz - stříška archiv</t>
  </si>
  <si>
    <t>24</t>
  </si>
  <si>
    <t>Montáž bednění střech rovných, prkna hrubá na sraz, včetně prken tl. 24 mm</t>
  </si>
  <si>
    <t>25</t>
  </si>
  <si>
    <t>762341310RT3</t>
  </si>
  <si>
    <t>Montáž bednění střech oblouk., prkna hrubá na sraz - stříška - hlavní vstup</t>
  </si>
  <si>
    <t>včetně dodávky řeziva, prkna tl. 22 mm</t>
  </si>
  <si>
    <t>26</t>
  </si>
  <si>
    <t>762341620RT3</t>
  </si>
  <si>
    <t>Montáž bednění okapových říms z palubek pero-drážka tl. 24 mm</t>
  </si>
  <si>
    <t>včetně dodávky řeziva, palubky SM tl. 24 mm</t>
  </si>
  <si>
    <t>27</t>
  </si>
  <si>
    <t>762341811R00</t>
  </si>
  <si>
    <t>Demontáž bednění střech rovných z prken hrubých - stríšky 1. N. P.</t>
  </si>
  <si>
    <t>Demontáž bednění střech rovných, obloukových, o sklonu do 60 stupňů včetně všech nadstřešních konstrukcí</t>
  </si>
  <si>
    <t>28</t>
  </si>
  <si>
    <t>Demontáž bednění střech rovných z prken hrubých</t>
  </si>
  <si>
    <t>29</t>
  </si>
  <si>
    <t>762341921R00</t>
  </si>
  <si>
    <t>Vyřezání otvorů střech, v bednění pl. do 1 m2 - 4 x vylézák 600x600 mm</t>
  </si>
  <si>
    <t>Množství vyřezání střešní vazby se určuje v m délky prvků, bez čepů</t>
  </si>
  <si>
    <t>30</t>
  </si>
  <si>
    <t>762342202RT2</t>
  </si>
  <si>
    <t>Montáž laťování střech, vzdálenost latí do 220 mm, vč. latí 30x50 mm</t>
  </si>
  <si>
    <t>včetně dodávky řeziva, latě 3/5 cm</t>
  </si>
  <si>
    <t>31</t>
  </si>
  <si>
    <t>762342203RT2</t>
  </si>
  <si>
    <t>Montáž laťování střech, vzdálenost latí 22 - 36 cm - pultové stříšky 1. N. P.</t>
  </si>
  <si>
    <t>32</t>
  </si>
  <si>
    <t>762344121R00</t>
  </si>
  <si>
    <t>Montáž nepískované lepenky na bednění střech</t>
  </si>
  <si>
    <t>33</t>
  </si>
  <si>
    <t>Montáž nepískované lepenky na bednění stříšek 1. N. P.</t>
  </si>
  <si>
    <t>34</t>
  </si>
  <si>
    <t>762522811R00</t>
  </si>
  <si>
    <t>Demontáž podlah s polštáři z prken tl. do 32 mm</t>
  </si>
  <si>
    <t>35</t>
  </si>
  <si>
    <t>762523934RT2</t>
  </si>
  <si>
    <t>Doplnění podlah prkny palubovými pl.do 4 m2 tl. 30 mm</t>
  </si>
  <si>
    <t>palubky tl. 30 mm</t>
  </si>
  <si>
    <t>36</t>
  </si>
  <si>
    <t>762524104RT2</t>
  </si>
  <si>
    <t>Položení podlah hoblovaných z prken, pero, drážka tl. 30 mm</t>
  </si>
  <si>
    <t>včetně dodání palubek tl. 30 mm</t>
  </si>
  <si>
    <t>764</t>
  </si>
  <si>
    <t>Konstrukce klempířské</t>
  </si>
  <si>
    <t>37</t>
  </si>
  <si>
    <t>764311303R00</t>
  </si>
  <si>
    <t>Krytina hladká z Al, tabule 2 x 1 m, nad 45°</t>
  </si>
  <si>
    <t>764_</t>
  </si>
  <si>
    <t>Položka je kalkulována včetně úpravy krytiny u okapů, prostupů a výčnělků.</t>
  </si>
  <si>
    <t>38</t>
  </si>
  <si>
    <t>764311326RT3</t>
  </si>
  <si>
    <t>Krytina hladká z Al, svitky š. 500 mm, nad 45° - oplechování komínů</t>
  </si>
  <si>
    <t>plocha nad 25 m2,</t>
  </si>
  <si>
    <t>39</t>
  </si>
  <si>
    <t>764311393R00</t>
  </si>
  <si>
    <t>Montáž krytiny hladké z Al, šablony</t>
  </si>
  <si>
    <t>Položka je určena pro montáž hotových (předvyrobených nebo nakoupených) prvků. Dodávka těchto prvků se ocení ve specifikaci.</t>
  </si>
  <si>
    <t>40</t>
  </si>
  <si>
    <t>764311397R00</t>
  </si>
  <si>
    <t>Montáž - úžlabí v krytině z Al</t>
  </si>
  <si>
    <t>V položce je zakalkulována pouze práce.</t>
  </si>
  <si>
    <t>41</t>
  </si>
  <si>
    <t>764311399R00</t>
  </si>
  <si>
    <t>Montáž - překážka v krytině z Al</t>
  </si>
  <si>
    <t>42</t>
  </si>
  <si>
    <t>764312842R00</t>
  </si>
  <si>
    <t>Demontáž krytiny Cu ze šablon, plechu a klempířských prvků nad 45°</t>
  </si>
  <si>
    <t>43</t>
  </si>
  <si>
    <t>764321340R00</t>
  </si>
  <si>
    <t>Oplechování Al říms pod nadříms. žlabem, rš 750 mm</t>
  </si>
  <si>
    <t>Položka je kalkulována včetně oplechování rohů, spojů a dilatací a včetně podkladního plechu.</t>
  </si>
  <si>
    <t>44</t>
  </si>
  <si>
    <t>764321391R00</t>
  </si>
  <si>
    <t>Montáž oplechování říms z Al</t>
  </si>
  <si>
    <t>45</t>
  </si>
  <si>
    <t>764348391R00</t>
  </si>
  <si>
    <t>Montáž bezpečnostního háku</t>
  </si>
  <si>
    <t>46</t>
  </si>
  <si>
    <t>764348392R00</t>
  </si>
  <si>
    <t>Montáž zachytače sněhu Al, tyčového</t>
  </si>
  <si>
    <t>47</t>
  </si>
  <si>
    <t>764364391R00</t>
  </si>
  <si>
    <t>Montáž střešního vylézáku Al, skládaná krytina</t>
  </si>
  <si>
    <t>765</t>
  </si>
  <si>
    <t>Krytina tvrdá</t>
  </si>
  <si>
    <t>48</t>
  </si>
  <si>
    <t>765901182R00</t>
  </si>
  <si>
    <t>Fólie podstřešní vodotěsná Delta Trela plus</t>
  </si>
  <si>
    <t>765_</t>
  </si>
  <si>
    <t>Pružná, difuzně otevřená strukturovaná dělící vrstva pro šikmé střechy s plechovou krytinou a pro plechové fasády. Brání hromadění vlhkosti, zamezuje vzniku koroze. Tloušťka 8 mm. Samoplepící okraj. Položka obsahuje dodávku a montáž fólie, včetně přikotvení fólie hřebíky s těsněním, které jsou součástí role fólie. Spojení jednotlivých pásů je provedeno: na vodorovných spojích pomocí integrované samolepicí vrstvy, na svislých a řezaných spojích pomocí lepicího tmelu. Položka neobsahuje náklady na kontralatě; tyto náklady se oceňují samostatně.</t>
  </si>
  <si>
    <t>49</t>
  </si>
  <si>
    <t>Fólie podstřešní vodotěsná pod plechovou krytinu</t>
  </si>
  <si>
    <t>766</t>
  </si>
  <si>
    <t>Konstrukce truhlářské</t>
  </si>
  <si>
    <t>50</t>
  </si>
  <si>
    <t>766623021R00</t>
  </si>
  <si>
    <t>Okna zdvojená otvíravá, do konstr.1kříd.do 0,40 m2</t>
  </si>
  <si>
    <t>766_</t>
  </si>
  <si>
    <t>V položce není zakalkulována montáž okapnice nad okenním křídlem.Tato montáž se oceňuje položkou 766 69-1610 Montáž lišty</t>
  </si>
  <si>
    <t>767</t>
  </si>
  <si>
    <t>Konstrukce doplňkové stavební (zámečnické)</t>
  </si>
  <si>
    <t>51</t>
  </si>
  <si>
    <t>767161140R00</t>
  </si>
  <si>
    <t>Oprava a úprava váz - vyčištění, oprava letování, úprava úchytů, doplnění chybějících prvků, leštění, impregnace</t>
  </si>
  <si>
    <t>767_</t>
  </si>
  <si>
    <t>52</t>
  </si>
  <si>
    <t>767321810R00</t>
  </si>
  <si>
    <t>Demontáž antenního stožáru</t>
  </si>
  <si>
    <t>53</t>
  </si>
  <si>
    <t>767322210R00</t>
  </si>
  <si>
    <t>Montáž nového antenního stožáru</t>
  </si>
  <si>
    <t>54</t>
  </si>
  <si>
    <t>767863121R00</t>
  </si>
  <si>
    <t>Montáž doplňků - ozdobných váz štítu střechy</t>
  </si>
  <si>
    <t>55</t>
  </si>
  <si>
    <t>767995106R00</t>
  </si>
  <si>
    <t>Oprava a úprava ozdobných váz štítu střechy</t>
  </si>
  <si>
    <t>ks</t>
  </si>
  <si>
    <t>783</t>
  </si>
  <si>
    <t>Nátěry</t>
  </si>
  <si>
    <t>56</t>
  </si>
  <si>
    <t>783626100RX1</t>
  </si>
  <si>
    <t>Nátěr lazurovací truhlářských výrobků 2x lakování - podlaha půdy</t>
  </si>
  <si>
    <t>783_</t>
  </si>
  <si>
    <t>78_</t>
  </si>
  <si>
    <t>57</t>
  </si>
  <si>
    <t>783782212R00</t>
  </si>
  <si>
    <t>Nátěr tesařských konstrukcí protihnilobní, protiplísňový, proti škůdcům - 2x - strop</t>
  </si>
  <si>
    <t>58</t>
  </si>
  <si>
    <t>Nátěr tesařských konstrukcí protihnilobní, protiplísňový, proti škůdcům - 2x</t>
  </si>
  <si>
    <t>Kapalný fungicidní a insekticidní vodou ředitelný koncentrát pro dlouhodobou preventivní ochranu dřeva v interiérech i exteriérech proti plísním, dřevokazným houbám a dřevokaznému hmyzu. Zároveň má zvýšenou odolnost proti vymývání účinných látek ze dřeva působením povětrnostních podmínek. Spotřeba pro dvojitý nátěr 35,1 g/m2</t>
  </si>
  <si>
    <t>59</t>
  </si>
  <si>
    <t>783801811R00</t>
  </si>
  <si>
    <t>Odstranění nátěrů z omítek podokapních říms</t>
  </si>
  <si>
    <t>60</t>
  </si>
  <si>
    <t>783801812R00</t>
  </si>
  <si>
    <t>Odstranění nátěrů z omítek stěn, oškrabáním - mansardy, štíty</t>
  </si>
  <si>
    <t>784</t>
  </si>
  <si>
    <t>Malby</t>
  </si>
  <si>
    <t>61</t>
  </si>
  <si>
    <t>784111201R00</t>
  </si>
  <si>
    <t>Penetrace podkladu nátěrem</t>
  </si>
  <si>
    <t>784_</t>
  </si>
  <si>
    <t>94</t>
  </si>
  <si>
    <t>Lešení a stavební výtahy</t>
  </si>
  <si>
    <t>941941042R00</t>
  </si>
  <si>
    <t>Montáž lešení leh.řad.s podlahami,š.1,2 m, H 14 m</t>
  </si>
  <si>
    <t>94_</t>
  </si>
  <si>
    <t>9_</t>
  </si>
  <si>
    <t>63</t>
  </si>
  <si>
    <t>941941292R00</t>
  </si>
  <si>
    <t>Příplatek za každý měsíc použití lešení k pol.1042</t>
  </si>
  <si>
    <t>Pronájem lešení na 3 měsíce - 1350 x 3</t>
  </si>
  <si>
    <t>64</t>
  </si>
  <si>
    <t>941941842R00</t>
  </si>
  <si>
    <t>Demontáž lešení leh.řad.s podlahami,š.1,2 m,H 14 m</t>
  </si>
  <si>
    <t>65</t>
  </si>
  <si>
    <t>944941121R00</t>
  </si>
  <si>
    <t>Ochranné zábradlí po obvodu nejvyššího stropu</t>
  </si>
  <si>
    <t>Položka obsahuje dodávku a montáž sloupků a desek zábradlí. Sloupky jsou uchyceny do nosníků stropního bednění nebo do betonových stropů po 1,5-2 m. Konstrukce slouží k ochraně před pádem osob z posledního podlaží při provádění stavebních prací</t>
  </si>
  <si>
    <t>66</t>
  </si>
  <si>
    <t>944944011R00</t>
  </si>
  <si>
    <t>Montáž ochranné sítě z umělých vláken</t>
  </si>
  <si>
    <t>67</t>
  </si>
  <si>
    <t>944944081R00</t>
  </si>
  <si>
    <t>Demontáž ochranné sítě z umělých vláken</t>
  </si>
  <si>
    <t>68</t>
  </si>
  <si>
    <t>944945012R00</t>
  </si>
  <si>
    <t>Montáž záchytné stříšky H 4,5 m, šířky do 2 m</t>
  </si>
  <si>
    <t>69</t>
  </si>
  <si>
    <t>944945192R00</t>
  </si>
  <si>
    <t>Příplatek za každý měsíc použ.stříšky, k pol. 5012</t>
  </si>
  <si>
    <t>8 m x 3 měsíce</t>
  </si>
  <si>
    <t>70</t>
  </si>
  <si>
    <t>944945812R00</t>
  </si>
  <si>
    <t>Demontáž záchytné stříšky H 4,5 m, šířky do 2 m</t>
  </si>
  <si>
    <t>71</t>
  </si>
  <si>
    <t>944976001R00</t>
  </si>
  <si>
    <t>Ochranná záchytná síť</t>
  </si>
  <si>
    <t>72</t>
  </si>
  <si>
    <t>945941003R00</t>
  </si>
  <si>
    <t>Montáž a revize závěsné klece délky do 6 m - výtah pro přepravu osob a materiálu</t>
  </si>
  <si>
    <t>73</t>
  </si>
  <si>
    <t>945941201R00</t>
  </si>
  <si>
    <t>Závěsná klec délky do 6 m, elektr., výška 50 m</t>
  </si>
  <si>
    <t>den</t>
  </si>
  <si>
    <t>74</t>
  </si>
  <si>
    <t>945941803R00</t>
  </si>
  <si>
    <t>Demontáž závěsné klece délky do 6 m</t>
  </si>
  <si>
    <t>75</t>
  </si>
  <si>
    <t>946941102RT2</t>
  </si>
  <si>
    <t>Montáž pojízdných Alu věží, 2,5 x 1,45 m - pracovní výška 6,2 m</t>
  </si>
  <si>
    <t>sada</t>
  </si>
  <si>
    <t>pracovní výška 6,2 m</t>
  </si>
  <si>
    <t xml:space="preserve">Položka je kalkulována pro montáž pojízdného lešení - Alu věž BOSS. </t>
  </si>
  <si>
    <t>76</t>
  </si>
  <si>
    <t>946941192RT2</t>
  </si>
  <si>
    <t>Nájemné pojízdných Alu věží, 2,5 x 1,45 m</t>
  </si>
  <si>
    <t xml:space="preserve">Položka je kalkulována pro nájemné pojízdného lešení - Alu věž BOSS. </t>
  </si>
  <si>
    <t>77</t>
  </si>
  <si>
    <t>946941501R00</t>
  </si>
  <si>
    <t>Návoz a odvoz pojízného lešení</t>
  </si>
  <si>
    <t>kompl</t>
  </si>
  <si>
    <t>Položka je určena pro jednu až 6 věží BOSS</t>
  </si>
  <si>
    <t>78</t>
  </si>
  <si>
    <t>946941802RT2</t>
  </si>
  <si>
    <t>Demontáž pojízdných Alu věží, 2,5 x 1,45 m</t>
  </si>
  <si>
    <t>pracovní výška 6,3 m</t>
  </si>
  <si>
    <t xml:space="preserve">Položka je kalkulována pro demontáž pojízdného lešení - Alu věž BOSS. </t>
  </si>
  <si>
    <t>79</t>
  </si>
  <si>
    <t>949941101R00</t>
  </si>
  <si>
    <t>Výsuvná šplhací plošina, motorický zdvih, H 80 m</t>
  </si>
  <si>
    <t>96</t>
  </si>
  <si>
    <t>Bourání konstrukcí</t>
  </si>
  <si>
    <t>80</t>
  </si>
  <si>
    <t>962032631R00</t>
  </si>
  <si>
    <t>Bourání zdiva komínového z cihel na MVC</t>
  </si>
  <si>
    <t>96_</t>
  </si>
  <si>
    <t>V položce není kalkulována manipulace se sutí, která se oceňuje samostatně položkami souboru 979</t>
  </si>
  <si>
    <t>81</t>
  </si>
  <si>
    <t>82</t>
  </si>
  <si>
    <t>83</t>
  </si>
  <si>
    <t>84</t>
  </si>
  <si>
    <t>85</t>
  </si>
  <si>
    <t>86</t>
  </si>
  <si>
    <t>966068151R00</t>
  </si>
  <si>
    <t>Přemístění dem. materiálu svislé za dalších 3,5 m</t>
  </si>
  <si>
    <t>87</t>
  </si>
  <si>
    <t>968061112R00</t>
  </si>
  <si>
    <t>Vyvěšení dřevěných a plastových okenních křídel pl. do 1,5 m2</t>
  </si>
  <si>
    <t>Položka obsahuje náklady na vyvěšení křídel, jejich uložení a zpětné zavěšení po provedených stavebních úpravách. Položka se používá i pro vyvěšení křídel určených k likvidaci</t>
  </si>
  <si>
    <t>88</t>
  </si>
  <si>
    <t>968062244R00</t>
  </si>
  <si>
    <t>Vybourání dřevěných rámů oken jednoduch. pl. 1 m2</t>
  </si>
  <si>
    <t>V položce není kalkulována manipulace se sutí, která se oceňuje samostatně položkami souboru 979. V položce není zakalkulováno vyvěšení křídel. Tyto práce se oceňují samostatně položkami souboru 968 06 -11 Vyvěšení dřevěvných křídel. Položka se používá pro okna pevná nebo s křídly otevíratelnými</t>
  </si>
  <si>
    <t>H01</t>
  </si>
  <si>
    <t>Budovy občanské výstavby</t>
  </si>
  <si>
    <t>89</t>
  </si>
  <si>
    <t>998011003R00</t>
  </si>
  <si>
    <t>Přesun hmot pro budovy zděné výšky do 24 m</t>
  </si>
  <si>
    <t>t</t>
  </si>
  <si>
    <t>H01_</t>
  </si>
  <si>
    <t>90</t>
  </si>
  <si>
    <t>998011018R00</t>
  </si>
  <si>
    <t>Přesun hmot, budovy zděné, příplatek do 5 km</t>
  </si>
  <si>
    <t>Položka je určena za zvětšený přesun přes vymezenou největší dopravní vzdálenost</t>
  </si>
  <si>
    <t>91</t>
  </si>
  <si>
    <t>998011019R00</t>
  </si>
  <si>
    <t>Přesun hmot, budovy zděné, přípl. za dalších 5 km</t>
  </si>
  <si>
    <t>H764</t>
  </si>
  <si>
    <t>92</t>
  </si>
  <si>
    <t>998764103R00</t>
  </si>
  <si>
    <t>Přesun hmot pro klempířské konstr., výšky do 24 m</t>
  </si>
  <si>
    <t>H764_</t>
  </si>
  <si>
    <t>M21</t>
  </si>
  <si>
    <t>Elektromontáže</t>
  </si>
  <si>
    <t>93</t>
  </si>
  <si>
    <t>210260151R00</t>
  </si>
  <si>
    <t>Dodatečné zaizolování konzoly a vzdušné přpojky elektro na objekt</t>
  </si>
  <si>
    <t>M21_</t>
  </si>
  <si>
    <t>M22</t>
  </si>
  <si>
    <t>Montáže sdělovací a zabezpečovací techniky</t>
  </si>
  <si>
    <t>222730154R00</t>
  </si>
  <si>
    <t>Kompletace a montáž ant. IV-V pásmo nad 10 prvků</t>
  </si>
  <si>
    <t>M22_</t>
  </si>
  <si>
    <t>Vč.svodu a nasměrování</t>
  </si>
  <si>
    <t>95</t>
  </si>
  <si>
    <t>222730161R00</t>
  </si>
  <si>
    <t>Kompletace a montáž par.antény</t>
  </si>
  <si>
    <t>222730301R00</t>
  </si>
  <si>
    <t>Uzemnění nosných částí a  trubek</t>
  </si>
  <si>
    <t>97</t>
  </si>
  <si>
    <t>222730396R00</t>
  </si>
  <si>
    <t>Měření TV signálu</t>
  </si>
  <si>
    <t>98</t>
  </si>
  <si>
    <t>222730401R00</t>
  </si>
  <si>
    <t>Nastavení a zprovoznění hl.stanice vč. ant.sestavy</t>
  </si>
  <si>
    <t>99</t>
  </si>
  <si>
    <t>222731501R00</t>
  </si>
  <si>
    <t>Demontáž anténního systému ze stožáru</t>
  </si>
  <si>
    <t>hod</t>
  </si>
  <si>
    <t>M65</t>
  </si>
  <si>
    <t>Elektroinstalace</t>
  </si>
  <si>
    <t>100</t>
  </si>
  <si>
    <t>650012181RT3</t>
  </si>
  <si>
    <t>Montáž krabice hranaté do dutých stěn bez zapojení</t>
  </si>
  <si>
    <t>M65_</t>
  </si>
  <si>
    <t>101</t>
  </si>
  <si>
    <t>650020611R00</t>
  </si>
  <si>
    <t>Zpětná montáž rozvodů elektro - půda</t>
  </si>
  <si>
    <t>102</t>
  </si>
  <si>
    <t>650101531R00</t>
  </si>
  <si>
    <t>Montáž LED svítidla stropního - půda</t>
  </si>
  <si>
    <t>103</t>
  </si>
  <si>
    <t>650111311R00</t>
  </si>
  <si>
    <t>Montáž zemnící tyče, zaražení a připojení do 2 m, vč. tyče</t>
  </si>
  <si>
    <t>104</t>
  </si>
  <si>
    <t>650111611RT2</t>
  </si>
  <si>
    <t>Montáž svodového vodiče D do 10 mm včetně podpěr</t>
  </si>
  <si>
    <t>105</t>
  </si>
  <si>
    <t>650111611RT3</t>
  </si>
  <si>
    <t>106</t>
  </si>
  <si>
    <t>650111611RT6</t>
  </si>
  <si>
    <t>včetně dodávky drátu AlMgSi T/4 8 mm, bez dodávky podpěry</t>
  </si>
  <si>
    <t>107</t>
  </si>
  <si>
    <t>650111711RT2</t>
  </si>
  <si>
    <t>Montáž hromosvodové svorky do 2 šroubů</t>
  </si>
  <si>
    <t>včetně dodávky svorky SO</t>
  </si>
  <si>
    <t>108</t>
  </si>
  <si>
    <t>650111711RT3</t>
  </si>
  <si>
    <t>včetně dodávky svorky SS</t>
  </si>
  <si>
    <t>109</t>
  </si>
  <si>
    <t>650111711RT4</t>
  </si>
  <si>
    <t>včetně dodávky svorky SZ</t>
  </si>
  <si>
    <t>110</t>
  </si>
  <si>
    <t>650111761RT2</t>
  </si>
  <si>
    <t>Montáž ochran. úhelníku / trubky s držáky do zdiva</t>
  </si>
  <si>
    <t>včetně dodávky ochran.úhelníku + 2 držáky do zdi</t>
  </si>
  <si>
    <t>111</t>
  </si>
  <si>
    <t>650111781RT2</t>
  </si>
  <si>
    <t>Označení svodu štítkem</t>
  </si>
  <si>
    <t>včetně dodávky štítku</t>
  </si>
  <si>
    <t>112</t>
  </si>
  <si>
    <t>650111811R00</t>
  </si>
  <si>
    <t>Montáž dist. držáku oddáleného vedení do zdiva vč. držáku</t>
  </si>
  <si>
    <t>113</t>
  </si>
  <si>
    <t>650111813R00</t>
  </si>
  <si>
    <t>Montáž dist. držáku oddáleného vedení na trubku</t>
  </si>
  <si>
    <t>114</t>
  </si>
  <si>
    <t>650111911R00</t>
  </si>
  <si>
    <t>Montáž jímací tyče do 3 m, na střešní hřeben</t>
  </si>
  <si>
    <t>115</t>
  </si>
  <si>
    <t>650112611R00</t>
  </si>
  <si>
    <t>Změření zemního odporu, vč. měřícího protokolu</t>
  </si>
  <si>
    <t>116</t>
  </si>
  <si>
    <t>650511181R00</t>
  </si>
  <si>
    <t>Měření zemního přechodového odporu uzemnění</t>
  </si>
  <si>
    <t>117</t>
  </si>
  <si>
    <t>650516813R00</t>
  </si>
  <si>
    <t>Revize hromosvodu</t>
  </si>
  <si>
    <t>118</t>
  </si>
  <si>
    <t>650710111R00</t>
  </si>
  <si>
    <t>Demontáž elektro kabelu</t>
  </si>
  <si>
    <t>119</t>
  </si>
  <si>
    <t>650801115R00</t>
  </si>
  <si>
    <t>Demontáž svítidla stropního - půda</t>
  </si>
  <si>
    <t>120</t>
  </si>
  <si>
    <t>650811112R00</t>
  </si>
  <si>
    <t>Demontáž vodiče svodového do D 10 mm vč. podpěr</t>
  </si>
  <si>
    <t>121</t>
  </si>
  <si>
    <t>650811121R00</t>
  </si>
  <si>
    <t>Demontáž hromosvodové svorky do 2 šroubů</t>
  </si>
  <si>
    <t>122</t>
  </si>
  <si>
    <t>650811153R00</t>
  </si>
  <si>
    <t>Demontáž jímací tyče ze stojanu</t>
  </si>
  <si>
    <t>123</t>
  </si>
  <si>
    <t>650811171R00</t>
  </si>
  <si>
    <t>Demontáž ochranného úhelníku vč. materiálu</t>
  </si>
  <si>
    <t>S</t>
  </si>
  <si>
    <t>Přesuny sutí</t>
  </si>
  <si>
    <t>124</t>
  </si>
  <si>
    <t>979011111R00</t>
  </si>
  <si>
    <t>Svislá doprava suti a vybour. hmot za 2.NP a 1.PP</t>
  </si>
  <si>
    <t>S_</t>
  </si>
  <si>
    <t>Položka je určena pro dopravu suti a vybouraných hmot za prvé podlaží nad nebo pod základním podlažím. Svislá doprava suti ze základního podlaží se neoceňuje. Základním podlažím je zpravidla přízemí</t>
  </si>
  <si>
    <t>125</t>
  </si>
  <si>
    <t>979011311RT1</t>
  </si>
  <si>
    <t>Svislá doprava suti a vybouraných hmot shozem s naložením</t>
  </si>
  <si>
    <t>s naložením do shozu</t>
  </si>
  <si>
    <t xml:space="preserve">Ruční přemístění suti z dopravního prostředku (kolečka) do násypky (násypka nad úrovní dopravního prostředku). </t>
  </si>
  <si>
    <t>126</t>
  </si>
  <si>
    <t>979012212R00</t>
  </si>
  <si>
    <t>Svislá doprava suti a vybour. hmot na H do 4 m</t>
  </si>
  <si>
    <t>127</t>
  </si>
  <si>
    <t>979081111RT3</t>
  </si>
  <si>
    <t>Odvoz suti a vybour. hmot na skládku do 1 km</t>
  </si>
  <si>
    <t>kontejnerem 7 t</t>
  </si>
  <si>
    <t>128</t>
  </si>
  <si>
    <t>979082111R00</t>
  </si>
  <si>
    <t>Vnitrostaveništní doprava suti do 10 m</t>
  </si>
  <si>
    <t>Včetně případného složení na staveništní deponii</t>
  </si>
  <si>
    <t>129</t>
  </si>
  <si>
    <t>979082317R00</t>
  </si>
  <si>
    <t>Vodorovná doprava suti a hmot po suchu do 5000 m</t>
  </si>
  <si>
    <t>130</t>
  </si>
  <si>
    <t>979087007R00</t>
  </si>
  <si>
    <t>Odvoz dřevěných konstrukcí na skládku do 5 km</t>
  </si>
  <si>
    <t>131</t>
  </si>
  <si>
    <t>979981104R00</t>
  </si>
  <si>
    <t>Kontejner, přistavení a odvoz, suť bez příměsí, kapacita 9 t</t>
  </si>
  <si>
    <t>Položka zahrnuje přistavení kontejneru, odvoz a likvidaci stavební suti v Brně-městě automobilem Liaz kapacity 9 t nákladu. RECYDO ÚLEHLA, RECYKLAČNÍ STŘEDISKO  Chrlice-Tovární 1  tel.: 737 207 302</t>
  </si>
  <si>
    <t>132</t>
  </si>
  <si>
    <t>979990101R00</t>
  </si>
  <si>
    <t>Poplatek za uložení směsi betonu a cihel skupina 170101 a 170102</t>
  </si>
  <si>
    <t>133</t>
  </si>
  <si>
    <t>979990160R00</t>
  </si>
  <si>
    <t>Poplatek za uložení - dřevo, skupina odpadu 200201</t>
  </si>
  <si>
    <t>RTS II/ 2024</t>
  </si>
  <si>
    <t>134</t>
  </si>
  <si>
    <t>979990261R00</t>
  </si>
  <si>
    <t>Poplatek za uložení asfaltové směsi obsahující dehet - původní střešní lepenkové pásy</t>
  </si>
  <si>
    <t>Ceník AVE, provozovna Žďár nad Sázavou</t>
  </si>
  <si>
    <t>M</t>
  </si>
  <si>
    <t>Ostatní materiál</t>
  </si>
  <si>
    <t>135</t>
  </si>
  <si>
    <t>112VD</t>
  </si>
  <si>
    <t>Dodávka materiálu střechy - krytiny, plechování, žlabů, zachycovačů atd.</t>
  </si>
  <si>
    <t>0</t>
  </si>
  <si>
    <t>Z99999_</t>
  </si>
  <si>
    <t>Z_</t>
  </si>
  <si>
    <t>136</t>
  </si>
  <si>
    <t>19410575</t>
  </si>
  <si>
    <t>Tyč kruhová Al D 50 mm, tažená - dl. 2000 mm - jímač hromosvodu - 3 kusy</t>
  </si>
  <si>
    <t>kg</t>
  </si>
  <si>
    <t>Tyče z hliníku a jeho slitin tažené kruhové, taženo za studena  TYČ KRUHOVÁ TAŽENÁ EN 754-3, EN 754-1, zn. AW-2030T3 (AlCu4PbMg) dle EN 573-3</t>
  </si>
  <si>
    <t>137</t>
  </si>
  <si>
    <t>19431162</t>
  </si>
  <si>
    <t>Trubka AlMgSi 60 x 5 mm - antenní stožár</t>
  </si>
  <si>
    <t xml:space="preserve">TRUBKA KRUHOVÁ  Hliníková trubka 60 x 5 mm EN AW6060 / AlMgSi0,5 Slitina hliníku pro všeobecné účely.  vhodnost k eloxu - velmi dobrá korozní odolnost - velmi dobrá svařitelnost - velmi dobrá obrobitelnost - přijatelná Dle staré ČSN 42 4401 - AlMgSi  </t>
  </si>
  <si>
    <t>138</t>
  </si>
  <si>
    <t>553427209</t>
  </si>
  <si>
    <t>Stropní LED svítidlo - půda</t>
  </si>
  <si>
    <t>139</t>
  </si>
  <si>
    <t>61110305</t>
  </si>
  <si>
    <t>Okno dřevěné 1kříd. OS1 800x350</t>
  </si>
  <si>
    <t xml:space="preserve">Profil IV 68  Materiál: SM, nastavovaná třívrstvá lamela Kování: Celoobvodové kování, čtyřpolohová okenní klika, s pojistkou proti chybné manipulaci a bezpečnostním uzávěrem, těsnění: celoobvodové , okapnice z eloxovaného hliníku, vodouředitelný nátěrový systém </t>
  </si>
  <si>
    <t>VORN</t>
  </si>
  <si>
    <t>Vedlejší a ostatní rozpočtové náklady</t>
  </si>
  <si>
    <t>02VRN</t>
  </si>
  <si>
    <t>Příprava staveniště</t>
  </si>
  <si>
    <t>140</t>
  </si>
  <si>
    <t>020001VRN</t>
  </si>
  <si>
    <t>Soubor</t>
  </si>
  <si>
    <t>02VRN_</t>
  </si>
  <si>
    <t>Â _</t>
  </si>
  <si>
    <t>03VRN</t>
  </si>
  <si>
    <t>Zařízení staveniště</t>
  </si>
  <si>
    <t>141</t>
  </si>
  <si>
    <t>030001VRN</t>
  </si>
  <si>
    <t>03VRN_</t>
  </si>
  <si>
    <t>142</t>
  </si>
  <si>
    <t>032002VRN</t>
  </si>
  <si>
    <t>Vybavení staveniště</t>
  </si>
  <si>
    <t>143</t>
  </si>
  <si>
    <t>039002VRN</t>
  </si>
  <si>
    <t>Odstranění zařízení staveniště</t>
  </si>
  <si>
    <t>05VRN</t>
  </si>
  <si>
    <t>Finanční náklady</t>
  </si>
  <si>
    <t>144</t>
  </si>
  <si>
    <t>050001VRN</t>
  </si>
  <si>
    <t>Finanční náklady - spotřeby energií</t>
  </si>
  <si>
    <t>05VRN_</t>
  </si>
  <si>
    <t>Spotřeby energií</t>
  </si>
  <si>
    <t>06VRN</t>
  </si>
  <si>
    <t>Územní vlivy</t>
  </si>
  <si>
    <t>145</t>
  </si>
  <si>
    <t>061002VRN</t>
  </si>
  <si>
    <t>Klimatické vlivy</t>
  </si>
  <si>
    <t>06VRN_</t>
  </si>
  <si>
    <t>146</t>
  </si>
  <si>
    <t>062002VRN</t>
  </si>
  <si>
    <t>Dopravní vlivy</t>
  </si>
  <si>
    <t>09VRN</t>
  </si>
  <si>
    <t>Ostatní náklady</t>
  </si>
  <si>
    <t>147</t>
  </si>
  <si>
    <t>090001VRN</t>
  </si>
  <si>
    <t>09VRN_</t>
  </si>
  <si>
    <t>Celkem:</t>
  </si>
  <si>
    <t>Poznámka:</t>
  </si>
  <si>
    <t>Krycí list slepého rozpočtu</t>
  </si>
  <si>
    <t>IČO/DIČ:</t>
  </si>
  <si>
    <t>47723424/CZ47723424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</si>
  <si>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</si>
  <si>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</si>
  <si>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</si>
  <si>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</si>
  <si>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</si>
  <si>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</si>
  <si>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</si>
  <si>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</si>
  <si>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</si>
  <si>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</si>
  <si>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</si>
  <si>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</si>
  <si>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Bez pevné podl.</t>
  </si>
  <si>
    <t>Mimostav. doprava</t>
  </si>
  <si>
    <t>PSV</t>
  </si>
  <si>
    <t>Kulturní památka</t>
  </si>
  <si>
    <t>Provozní vlivy</t>
  </si>
  <si>
    <t>"M"</t>
  </si>
  <si>
    <t>Ostatní</t>
  </si>
  <si>
    <t>NUS z rozpočtu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</si>
  <si>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</si>
  <si>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</si>
  <si>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</si>
  <si>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</si>
  <si>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</si>
  <si>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</si>
  <si>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</si>
  <si>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</si>
  <si>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</si>
  <si>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</si>
  <si>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</si>
  <si>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</si>
  <si>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</si>
  <si>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</si>
  <si>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</si>
  <si>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</si>
  <si>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</si>
  <si>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</si>
  <si>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</si>
  <si>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Krytina - falcovaná šablona 290x290 mm + plech - břidlicová</t>
  </si>
  <si>
    <t>jednotky</t>
  </si>
  <si>
    <t>spotřeba</t>
  </si>
  <si>
    <t>cena Kč</t>
  </si>
  <si>
    <t>výměra/ks</t>
  </si>
  <si>
    <t>množství</t>
  </si>
  <si>
    <t>celkem</t>
  </si>
  <si>
    <t>falcovaná šablona 29x29</t>
  </si>
  <si>
    <t>12 ks/m2</t>
  </si>
  <si>
    <t>startovací (okapová) šablona 29x29</t>
  </si>
  <si>
    <t>2,2 ks/m</t>
  </si>
  <si>
    <t>ukončovací (hřebenová) šablona 29x29</t>
  </si>
  <si>
    <t>okapový plech pod difuzní fólii P.10</t>
  </si>
  <si>
    <t>bm</t>
  </si>
  <si>
    <t>2 m/ks</t>
  </si>
  <si>
    <t>ochranná mřížka proti ptákům</t>
  </si>
  <si>
    <t>podkladní pás</t>
  </si>
  <si>
    <t>1,8 m/ks</t>
  </si>
  <si>
    <t>odvětrávací hřebenáč velký</t>
  </si>
  <si>
    <t>3m/ks</t>
  </si>
  <si>
    <t>ukončovací prvek pro hřebenáč velký</t>
  </si>
  <si>
    <t>hřebenáč malý (500mm)</t>
  </si>
  <si>
    <t>2ks/m</t>
  </si>
  <si>
    <t>ukončovací hřebenáč malý</t>
  </si>
  <si>
    <t>bezpečnostní úžlabí</t>
  </si>
  <si>
    <t>zavětrná lišta (s upevňovací lištou)</t>
  </si>
  <si>
    <t>2m/ks</t>
  </si>
  <si>
    <t>sněhový hák pro falcované tašky a šablony 29x29</t>
  </si>
  <si>
    <t>držák trubkové profilované sněhové zábrany</t>
  </si>
  <si>
    <t>trubka profilované sněhové zábrany 25/25mm</t>
  </si>
  <si>
    <t>držák ledu (cca 4ks/bm)</t>
  </si>
  <si>
    <t>ukončení profilované sněhové zábrany</t>
  </si>
  <si>
    <t>odvětrávací prvek pro šablony 29*29</t>
  </si>
  <si>
    <t>prostup pro šablony 29x29</t>
  </si>
  <si>
    <t>nástavec odvětrání 100mm</t>
  </si>
  <si>
    <t>manžeta 100 (k utěsnění průchodu fólií ø100-130mm)</t>
  </si>
  <si>
    <t>výlezové okno pro maloformátové krytiny (595x595 mm)</t>
  </si>
  <si>
    <t>stoupací plošina (dl.800 mm; š.250 mm)</t>
  </si>
  <si>
    <t>stoupací plošina (dl.1200 mm; š.250 mm)</t>
  </si>
  <si>
    <t>držák stoupací plošiny 250 mm</t>
  </si>
  <si>
    <t>nášlapný stupeň</t>
  </si>
  <si>
    <t>bezpečnostní hák (1 osoba)</t>
  </si>
  <si>
    <t>bezpečnostní hák (2 osoby)</t>
  </si>
  <si>
    <t>plech pásy š.1000 mm (pro výrobu zavětrovací lišty, napojení na zeď, oplechování komínu, stříšek 1. N. P. atd.</t>
  </si>
  <si>
    <t>1,89 kg/m2</t>
  </si>
  <si>
    <t>CELKEM bez DPH</t>
  </si>
  <si>
    <t>CENA včetně DPH</t>
  </si>
  <si>
    <t>Okapový systém - žlab půlkulatý rš. 330 mm, kvalita laku P.10</t>
  </si>
  <si>
    <t>hliníkový žlab - délka 6 m</t>
  </si>
  <si>
    <t>hliníkový žlab - délka 3 m</t>
  </si>
  <si>
    <t>žlabový hák</t>
  </si>
  <si>
    <t>žlabový hák zpevněný</t>
  </si>
  <si>
    <t>čelo žlabu</t>
  </si>
  <si>
    <t>kotlík do 100 mm</t>
  </si>
  <si>
    <t>speciální lepící sada</t>
  </si>
  <si>
    <t>Dešťové svody - svod kruhový 100 mm, kvalita laku P.10</t>
  </si>
  <si>
    <t>svod s ochrannou fólií</t>
  </si>
  <si>
    <t>objímka se závitem M10</t>
  </si>
  <si>
    <t>trn k objímce 200 mm (balení 25 ks)</t>
  </si>
  <si>
    <t>koleno 72 st.</t>
  </si>
  <si>
    <t>Okapový systém - žlab nástřešní, rš. 700 mm, kvalita laku P.10</t>
  </si>
  <si>
    <t>nástřešní žlab s ochrannou fólií, délka 6 m</t>
  </si>
  <si>
    <t>nekonečná dilatace</t>
  </si>
  <si>
    <t>žlabový hák pro nástřešní žlab</t>
  </si>
  <si>
    <t>vyústění nástřešního žlabu 100</t>
  </si>
  <si>
    <t>čelo k nástřešnímu žlabu</t>
  </si>
  <si>
    <t>MATERIÁL CELKEM</t>
  </si>
  <si>
    <t>Položka obsahuje náklady na dodávku materiálu na zřízení vstupů do dutin, náklady na jejich uzavření. Od měrných jednotek se odečítá objem konstrukcí v dutinách (trámy, komíny apod.)</t>
  </si>
  <si>
    <t>Položka je určena pro montáž svorníků, šroubů, vč. dodávky.</t>
  </si>
  <si>
    <t>Montáž laťování střech - komíny, vzdálenost latí do 220 mm, vč. latí 30x50 mm</t>
  </si>
  <si>
    <t>V položce není zakalkulována montáž okapnice nad okenním křídlem.</t>
  </si>
  <si>
    <t>Položka je kalkulována pro montáž pojízdného lešení - Alu věž</t>
  </si>
  <si>
    <t xml:space="preserve">Položka je kalkulována pro nájemné pojízdného lešení - Alu věž </t>
  </si>
  <si>
    <t>Položka je určena pro jednu až 6 věží</t>
  </si>
  <si>
    <t xml:space="preserve">Položka je kalkulována pro demontáž pojízdného lešení - Alu věž </t>
  </si>
  <si>
    <t xml:space="preserve">včetně dodávky krabice </t>
  </si>
  <si>
    <t xml:space="preserve">včetně dodávky drátu FeZn 8 mm + PV </t>
  </si>
  <si>
    <t>Položka zahrnuje přistavení kontejneru, odvoz a likvidaci stavební suti</t>
  </si>
  <si>
    <t>Tyče z hliníku a jeho slitin tažené kruhové, taženo za studena  TYČ KRUHOVÁ TAŽENÁ EN 754-3, EN 754-1, (AlCu4PbMg) dle EN 573-3</t>
  </si>
  <si>
    <t>Okno dřevěné 1kříd. rozměr okna 800x350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</si>
</sst>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8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4" fontId="2" fillId="2" borderId="29" xfId="0" applyNumberFormat="1" applyFont="1" applyFill="1" applyBorder="1" applyAlignment="1">
      <alignment horizontal="right" vertical="center"/>
    </xf>
    <xf numFmtId="0" fontId="2" fillId="2" borderId="30" xfId="0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5" xfId="0" applyBorder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righ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4" fontId="3" fillId="0" borderId="32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4" fontId="2" fillId="0" borderId="34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9" fillId="0" borderId="40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4" fontId="10" fillId="0" borderId="41" xfId="0" applyNumberFormat="1" applyFont="1" applyBorder="1" applyAlignment="1">
      <alignment horizontal="right" vertical="center"/>
    </xf>
    <xf numFmtId="0" fontId="10" fillId="0" borderId="41" xfId="0" applyFont="1" applyBorder="1" applyAlignment="1">
      <alignment horizontal="right" vertical="center"/>
    </xf>
    <xf numFmtId="0" fontId="9" fillId="0" borderId="44" xfId="0" applyFont="1" applyBorder="1" applyAlignment="1">
      <alignment horizontal="left" vertical="center"/>
    </xf>
    <xf numFmtId="4" fontId="10" fillId="0" borderId="48" xfId="0" applyNumberFormat="1" applyFont="1" applyBorder="1" applyAlignment="1">
      <alignment horizontal="right" vertical="center"/>
    </xf>
    <xf numFmtId="0" fontId="10" fillId="0" borderId="48" xfId="0" applyFont="1" applyBorder="1" applyAlignment="1">
      <alignment horizontal="right" vertical="center"/>
    </xf>
    <xf numFmtId="4" fontId="10" fillId="0" borderId="39" xfId="0" applyNumberFormat="1" applyFont="1" applyBorder="1" applyAlignment="1">
      <alignment horizontal="right" vertical="center"/>
    </xf>
    <xf numFmtId="4" fontId="10" fillId="0" borderId="25" xfId="0" applyNumberFormat="1" applyFont="1" applyBorder="1" applyAlignment="1">
      <alignment horizontal="right" vertical="center"/>
    </xf>
    <xf numFmtId="4" fontId="9" fillId="2" borderId="38" xfId="0" applyNumberFormat="1" applyFont="1" applyFill="1" applyBorder="1" applyAlignment="1">
      <alignment horizontal="right" vertical="center"/>
    </xf>
    <xf numFmtId="4" fontId="9" fillId="2" borderId="43" xfId="0" applyNumberFormat="1" applyFont="1" applyFill="1" applyBorder="1" applyAlignment="1">
      <alignment horizontal="right" vertical="center"/>
    </xf>
    <xf numFmtId="0" fontId="5" fillId="0" borderId="29" xfId="0" applyFont="1" applyBorder="1" applyAlignment="1">
      <alignment horizontal="left" vertical="center"/>
    </xf>
    <xf numFmtId="0" fontId="11" fillId="0" borderId="64" xfId="0" applyFont="1" applyBorder="1"/>
    <xf numFmtId="0" fontId="0" fillId="0" borderId="65" xfId="0" applyBorder="1" applyAlignment="1">
      <alignment horizontal="center"/>
    </xf>
    <xf numFmtId="2" fontId="0" fillId="0" borderId="65" xfId="0" applyNumberFormat="1" applyBorder="1" applyAlignment="1">
      <alignment horizontal="center"/>
    </xf>
    <xf numFmtId="2" fontId="0" fillId="0" borderId="66" xfId="0" applyNumberFormat="1" applyBorder="1" applyAlignment="1">
      <alignment horizontal="center"/>
    </xf>
    <xf numFmtId="0" fontId="0" fillId="0" borderId="67" xfId="0" applyBorder="1"/>
    <xf numFmtId="0" fontId="0" fillId="0" borderId="68" xfId="0" applyBorder="1" applyAlignment="1">
      <alignment horizontal="center"/>
    </xf>
    <xf numFmtId="2" fontId="0" fillId="0" borderId="68" xfId="0" applyNumberFormat="1" applyBorder="1"/>
    <xf numFmtId="0" fontId="0" fillId="0" borderId="68" xfId="0" applyBorder="1"/>
    <xf numFmtId="2" fontId="0" fillId="0" borderId="69" xfId="0" applyNumberFormat="1" applyBorder="1"/>
    <xf numFmtId="0" fontId="0" fillId="0" borderId="70" xfId="0" applyBorder="1"/>
    <xf numFmtId="0" fontId="0" fillId="0" borderId="0" xfId="0" applyAlignment="1">
      <alignment horizontal="center"/>
    </xf>
    <xf numFmtId="2" fontId="0" fillId="0" borderId="0" xfId="0" applyNumberFormat="1"/>
    <xf numFmtId="2" fontId="0" fillId="0" borderId="71" xfId="0" applyNumberFormat="1" applyBorder="1"/>
    <xf numFmtId="0" fontId="0" fillId="0" borderId="72" xfId="0" applyBorder="1"/>
    <xf numFmtId="0" fontId="0" fillId="0" borderId="73" xfId="0" applyBorder="1" applyAlignment="1">
      <alignment horizontal="center"/>
    </xf>
    <xf numFmtId="2" fontId="0" fillId="0" borderId="73" xfId="0" applyNumberFormat="1" applyBorder="1"/>
    <xf numFmtId="0" fontId="0" fillId="0" borderId="73" xfId="0" applyBorder="1"/>
    <xf numFmtId="2" fontId="0" fillId="0" borderId="74" xfId="0" applyNumberFormat="1" applyBorder="1"/>
    <xf numFmtId="0" fontId="0" fillId="0" borderId="75" xfId="0" applyBorder="1" applyAlignment="1">
      <alignment wrapText="1"/>
    </xf>
    <xf numFmtId="0" fontId="0" fillId="0" borderId="76" xfId="0" applyBorder="1" applyAlignment="1">
      <alignment horizontal="center"/>
    </xf>
    <xf numFmtId="2" fontId="0" fillId="0" borderId="76" xfId="0" applyNumberFormat="1" applyBorder="1"/>
    <xf numFmtId="0" fontId="0" fillId="0" borderId="76" xfId="0" applyBorder="1"/>
    <xf numFmtId="2" fontId="0" fillId="0" borderId="77" xfId="0" applyNumberFormat="1" applyBorder="1"/>
    <xf numFmtId="0" fontId="11" fillId="0" borderId="67" xfId="0" applyFont="1" applyBorder="1"/>
    <xf numFmtId="0" fontId="11" fillId="0" borderId="78" xfId="0" applyFont="1" applyBorder="1"/>
    <xf numFmtId="0" fontId="0" fillId="0" borderId="79" xfId="0" applyBorder="1" applyAlignment="1">
      <alignment horizontal="center"/>
    </xf>
    <xf numFmtId="2" fontId="0" fillId="0" borderId="79" xfId="0" applyNumberFormat="1" applyBorder="1"/>
    <xf numFmtId="0" fontId="0" fillId="0" borderId="79" xfId="0" applyBorder="1"/>
    <xf numFmtId="2" fontId="0" fillId="0" borderId="80" xfId="0" applyNumberFormat="1" applyBorder="1"/>
    <xf numFmtId="0" fontId="11" fillId="0" borderId="81" xfId="0" applyFont="1" applyBorder="1"/>
    <xf numFmtId="0" fontId="0" fillId="0" borderId="82" xfId="0" applyBorder="1" applyAlignment="1">
      <alignment horizontal="center"/>
    </xf>
    <xf numFmtId="2" fontId="0" fillId="0" borderId="82" xfId="0" applyNumberFormat="1" applyBorder="1"/>
    <xf numFmtId="0" fontId="0" fillId="0" borderId="82" xfId="0" applyBorder="1"/>
    <xf numFmtId="2" fontId="0" fillId="0" borderId="83" xfId="0" applyNumberFormat="1" applyBorder="1"/>
    <xf numFmtId="0" fontId="2" fillId="0" borderId="34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0" borderId="32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10" fillId="0" borderId="55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58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0" fontId="10" fillId="0" borderId="61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10" fillId="0" borderId="53" xfId="0" applyFont="1" applyBorder="1" applyAlignment="1">
      <alignment horizontal="left" vertical="center"/>
    </xf>
    <xf numFmtId="0" fontId="10" fillId="0" borderId="57" xfId="0" applyFont="1" applyBorder="1" applyAlignment="1">
      <alignment horizontal="left" vertical="center"/>
    </xf>
    <xf numFmtId="0" fontId="10" fillId="0" borderId="60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2" borderId="50" xfId="0" applyFont="1" applyFill="1" applyBorder="1" applyAlignment="1">
      <alignment horizontal="left" vertical="center"/>
    </xf>
    <xf numFmtId="0" fontId="9" fillId="2" borderId="51" xfId="0" applyFont="1" applyFill="1" applyBorder="1" applyAlignment="1">
      <alignment horizontal="left" vertical="center"/>
    </xf>
    <xf numFmtId="0" fontId="9" fillId="2" borderId="45" xfId="0" applyFont="1" applyFill="1" applyBorder="1" applyAlignment="1">
      <alignment horizontal="left" vertical="center"/>
    </xf>
    <xf numFmtId="0" fontId="9" fillId="2" borderId="52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42" xfId="0" applyFont="1" applyFill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/>
    </xf>
    <xf numFmtId="0" fontId="6" fillId="0" borderId="35" xfId="0" applyFont="1" applyBorder="1" applyAlignment="1">
      <alignment horizontal="center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topLeftCell="A7" workbookViewId="0">
      <selection activeCell="I14" sqref="I14"/>
    </sheetView>
  </sheetViews>
  <sheetFormatPr defaultColWidth="12.109375" defaultRowHeight="15" customHeight="1" x14ac:dyDescent="0.3"/>
  <cols>
    <col min="1" max="1" width="9.109375" customWidth="1"/>
    <col min="2" max="2" width="12.88671875" customWidth="1"/>
    <col min="3" max="3" width="27.109375" customWidth="1"/>
    <col min="4" max="4" width="10" customWidth="1"/>
    <col min="5" max="5" width="14" customWidth="1"/>
    <col min="6" max="6" width="27.109375" customWidth="1"/>
    <col min="7" max="7" width="9.109375" customWidth="1"/>
    <col min="8" max="8" width="12.88671875" customWidth="1"/>
    <col min="9" max="9" width="27.109375" customWidth="1"/>
  </cols>
  <sheetData>
    <row r="1" spans="1:9" ht="54.75" customHeight="1" x14ac:dyDescent="0.3">
      <c r="A1" s="157" t="s">
        <v>629</v>
      </c>
      <c r="B1" s="107"/>
      <c r="C1" s="107"/>
      <c r="D1" s="107"/>
      <c r="E1" s="107"/>
      <c r="F1" s="107"/>
      <c r="G1" s="107"/>
      <c r="H1" s="107"/>
      <c r="I1" s="107"/>
    </row>
    <row r="2" spans="1:9" ht="14.4" x14ac:dyDescent="0.3">
      <c r="A2" s="108" t="s">
        <v>1</v>
      </c>
      <c r="B2" s="109"/>
      <c r="C2" s="115" t="str">
        <f>'Stavební rozpočet'!C2</f>
        <v>Rekonstrukce stávající střechy, krovu a zateplení stropu nad 3. N. P.</v>
      </c>
      <c r="D2" s="116"/>
      <c r="E2" s="114" t="s">
        <v>5</v>
      </c>
      <c r="F2" s="114" t="str">
        <f>'Stavební rozpočet'!I2</f>
        <v>Dětský domov Mariánské Lázně a Aš</v>
      </c>
      <c r="G2" s="109"/>
      <c r="H2" s="114" t="s">
        <v>630</v>
      </c>
      <c r="I2" s="118" t="s">
        <v>631</v>
      </c>
    </row>
    <row r="3" spans="1:9" ht="25.5" customHeight="1" x14ac:dyDescent="0.3">
      <c r="A3" s="110"/>
      <c r="B3" s="90"/>
      <c r="C3" s="117"/>
      <c r="D3" s="117"/>
      <c r="E3" s="90"/>
      <c r="F3" s="90"/>
      <c r="G3" s="90"/>
      <c r="H3" s="90"/>
      <c r="I3" s="119"/>
    </row>
    <row r="4" spans="1:9" ht="14.4" x14ac:dyDescent="0.3">
      <c r="A4" s="111" t="s">
        <v>7</v>
      </c>
      <c r="B4" s="90"/>
      <c r="C4" s="89" t="str">
        <f>'Stavební rozpočet'!C4</f>
        <v>Dětský domov Mariánské Lázně</v>
      </c>
      <c r="D4" s="90"/>
      <c r="E4" s="89" t="s">
        <v>11</v>
      </c>
      <c r="F4" s="89" t="str">
        <f>'Stavební rozpočet'!I4</f>
        <v> </v>
      </c>
      <c r="G4" s="90"/>
      <c r="H4" s="89" t="s">
        <v>630</v>
      </c>
      <c r="I4" s="119" t="s">
        <v>49</v>
      </c>
    </row>
    <row r="5" spans="1:9" ht="15" customHeight="1" x14ac:dyDescent="0.3">
      <c r="A5" s="110"/>
      <c r="B5" s="90"/>
      <c r="C5" s="90"/>
      <c r="D5" s="90"/>
      <c r="E5" s="90"/>
      <c r="F5" s="90"/>
      <c r="G5" s="90"/>
      <c r="H5" s="90"/>
      <c r="I5" s="119"/>
    </row>
    <row r="6" spans="1:9" ht="14.4" x14ac:dyDescent="0.3">
      <c r="A6" s="111" t="s">
        <v>13</v>
      </c>
      <c r="B6" s="90"/>
      <c r="C6" s="89" t="str">
        <f>'Stavební rozpočet'!C6</f>
        <v>Palackého 191/101, Mariánské Lázně</v>
      </c>
      <c r="D6" s="90"/>
      <c r="E6" s="89" t="s">
        <v>16</v>
      </c>
      <c r="F6" s="89" t="str">
        <f>'Stavební rozpočet'!I6</f>
        <v> </v>
      </c>
      <c r="G6" s="90"/>
      <c r="H6" s="89" t="s">
        <v>630</v>
      </c>
      <c r="I6" s="119" t="s">
        <v>49</v>
      </c>
    </row>
    <row r="7" spans="1:9" ht="15" customHeight="1" x14ac:dyDescent="0.3">
      <c r="A7" s="110"/>
      <c r="B7" s="90"/>
      <c r="C7" s="90"/>
      <c r="D7" s="90"/>
      <c r="E7" s="90"/>
      <c r="F7" s="90"/>
      <c r="G7" s="90"/>
      <c r="H7" s="90"/>
      <c r="I7" s="119"/>
    </row>
    <row r="8" spans="1:9" ht="14.4" x14ac:dyDescent="0.3">
      <c r="A8" s="111" t="s">
        <v>9</v>
      </c>
      <c r="B8" s="90"/>
      <c r="C8" s="89" t="str">
        <f>'Stavební rozpočet'!G4</f>
        <v>14.08.2024</v>
      </c>
      <c r="D8" s="90"/>
      <c r="E8" s="89" t="s">
        <v>15</v>
      </c>
      <c r="F8" s="89" t="str">
        <f>'Stavební rozpočet'!G6</f>
        <v xml:space="preserve"> </v>
      </c>
      <c r="G8" s="90"/>
      <c r="H8" s="90" t="s">
        <v>632</v>
      </c>
      <c r="I8" s="158">
        <v>147</v>
      </c>
    </row>
    <row r="9" spans="1:9" ht="14.4" x14ac:dyDescent="0.3">
      <c r="A9" s="110"/>
      <c r="B9" s="90"/>
      <c r="C9" s="90"/>
      <c r="D9" s="90"/>
      <c r="E9" s="90"/>
      <c r="F9" s="90"/>
      <c r="G9" s="90"/>
      <c r="H9" s="90"/>
      <c r="I9" s="119"/>
    </row>
    <row r="10" spans="1:9" ht="14.4" x14ac:dyDescent="0.3">
      <c r="A10" s="111" t="s">
        <v>17</v>
      </c>
      <c r="B10" s="90"/>
      <c r="C10" s="89" t="str">
        <f>'Stavební rozpočet'!C8</f>
        <v xml:space="preserve"> </v>
      </c>
      <c r="D10" s="90"/>
      <c r="E10" s="89" t="s">
        <v>19</v>
      </c>
      <c r="F10" s="89" t="str">
        <f>'Stavební rozpočet'!I8</f>
        <v> </v>
      </c>
      <c r="G10" s="90"/>
      <c r="H10" s="90" t="s">
        <v>633</v>
      </c>
      <c r="I10" s="151" t="str">
        <f>'Stavební rozpočet'!G8</f>
        <v>14.08.2024</v>
      </c>
    </row>
    <row r="11" spans="1:9" ht="14.4" x14ac:dyDescent="0.3">
      <c r="A11" s="156"/>
      <c r="B11" s="94"/>
      <c r="C11" s="94"/>
      <c r="D11" s="94"/>
      <c r="E11" s="94"/>
      <c r="F11" s="94"/>
      <c r="G11" s="94"/>
      <c r="H11" s="94"/>
      <c r="I11" s="152"/>
    </row>
    <row r="12" spans="1:9" ht="22.8" x14ac:dyDescent="0.3">
      <c r="A12" s="153" t="s">
        <v>634</v>
      </c>
      <c r="B12" s="153"/>
      <c r="C12" s="153"/>
      <c r="D12" s="153"/>
      <c r="E12" s="153"/>
      <c r="F12" s="153"/>
      <c r="G12" s="153"/>
      <c r="H12" s="153"/>
      <c r="I12" s="153"/>
    </row>
    <row r="13" spans="1:9" ht="26.25" customHeight="1" x14ac:dyDescent="0.3">
      <c r="A13" s="40" t="s">
        <v>635</v>
      </c>
      <c r="B13" s="154" t="s">
        <v>636</v>
      </c>
      <c r="C13" s="155"/>
      <c r="D13" s="41" t="s">
        <v>637</v>
      </c>
      <c r="E13" s="154" t="s">
        <v>638</v>
      </c>
      <c r="F13" s="155"/>
      <c r="G13" s="41" t="s">
        <v>639</v>
      </c>
      <c r="H13" s="154" t="s">
        <v>640</v>
      </c>
      <c r="I13" s="155"/>
    </row>
    <row r="14" spans="1:9" ht="15.6" x14ac:dyDescent="0.3">
      <c r="A14" s="42" t="s">
        <v>641</v>
      </c>
      <c r="B14" s="43" t="s">
        <v>642</v>
      </c>
      <c r="C14" s="44">
        <f>SUM('Stavební rozpočet'!AB12:AB269)</f>
        <v>0</v>
      </c>
      <c r="D14" s="141" t="s">
        <v>643</v>
      </c>
      <c r="E14" s="142"/>
      <c r="F14" s="44" t="e">
        <f>#REF!</f>
        <v>#REF!</v>
      </c>
      <c r="G14" s="141" t="s">
        <v>596</v>
      </c>
      <c r="H14" s="142"/>
      <c r="I14" s="45" t="e">
        <f>#REF!</f>
        <v>#REF!</v>
      </c>
    </row>
    <row r="15" spans="1:9" ht="15.6" x14ac:dyDescent="0.3">
      <c r="A15" s="46" t="s">
        <v>49</v>
      </c>
      <c r="B15" s="43" t="s">
        <v>34</v>
      </c>
      <c r="C15" s="44">
        <f>SUM('Stavební rozpočet'!AC12:AC269)</f>
        <v>0</v>
      </c>
      <c r="D15" s="141" t="s">
        <v>644</v>
      </c>
      <c r="E15" s="142"/>
      <c r="F15" s="44" t="e">
        <f>#REF!</f>
        <v>#REF!</v>
      </c>
      <c r="G15" s="141" t="s">
        <v>645</v>
      </c>
      <c r="H15" s="142"/>
      <c r="I15" s="45" t="e">
        <f>#REF!</f>
        <v>#REF!</v>
      </c>
    </row>
    <row r="16" spans="1:9" ht="15.6" x14ac:dyDescent="0.3">
      <c r="A16" s="42" t="s">
        <v>646</v>
      </c>
      <c r="B16" s="43" t="s">
        <v>642</v>
      </c>
      <c r="C16" s="44">
        <f>SUM('Stavební rozpočet'!AD12:AD269)</f>
        <v>0</v>
      </c>
      <c r="D16" s="141" t="s">
        <v>647</v>
      </c>
      <c r="E16" s="142"/>
      <c r="F16" s="44" t="e">
        <f>#REF!</f>
        <v>#REF!</v>
      </c>
      <c r="G16" s="141" t="s">
        <v>614</v>
      </c>
      <c r="H16" s="142"/>
      <c r="I16" s="45" t="e">
        <f>#REF!</f>
        <v>#REF!</v>
      </c>
    </row>
    <row r="17" spans="1:9" ht="15.6" x14ac:dyDescent="0.3">
      <c r="A17" s="46" t="s">
        <v>49</v>
      </c>
      <c r="B17" s="43" t="s">
        <v>34</v>
      </c>
      <c r="C17" s="44">
        <f>SUM('Stavební rozpočet'!AE12:AE269)</f>
        <v>0</v>
      </c>
      <c r="D17" s="141" t="s">
        <v>49</v>
      </c>
      <c r="E17" s="142"/>
      <c r="F17" s="45" t="s">
        <v>49</v>
      </c>
      <c r="G17" s="141" t="s">
        <v>648</v>
      </c>
      <c r="H17" s="142"/>
      <c r="I17" s="45" t="e">
        <f>#REF!</f>
        <v>#REF!</v>
      </c>
    </row>
    <row r="18" spans="1:9" ht="15.6" x14ac:dyDescent="0.3">
      <c r="A18" s="42" t="s">
        <v>649</v>
      </c>
      <c r="B18" s="43" t="s">
        <v>642</v>
      </c>
      <c r="C18" s="44">
        <f>SUM('Stavební rozpočet'!AF12:AF269)</f>
        <v>0</v>
      </c>
      <c r="D18" s="141" t="s">
        <v>49</v>
      </c>
      <c r="E18" s="142"/>
      <c r="F18" s="45" t="s">
        <v>49</v>
      </c>
      <c r="G18" s="141" t="s">
        <v>650</v>
      </c>
      <c r="H18" s="142"/>
      <c r="I18" s="45" t="e">
        <f>#REF!</f>
        <v>#REF!</v>
      </c>
    </row>
    <row r="19" spans="1:9" ht="15.6" x14ac:dyDescent="0.3">
      <c r="A19" s="46" t="s">
        <v>49</v>
      </c>
      <c r="B19" s="43" t="s">
        <v>34</v>
      </c>
      <c r="C19" s="44">
        <f>SUM('Stavební rozpočet'!AG12:AG269)</f>
        <v>0</v>
      </c>
      <c r="D19" s="141" t="s">
        <v>49</v>
      </c>
      <c r="E19" s="142"/>
      <c r="F19" s="45" t="s">
        <v>49</v>
      </c>
      <c r="G19" s="141" t="s">
        <v>651</v>
      </c>
      <c r="H19" s="142"/>
      <c r="I19" s="45" t="e">
        <f>#REF!</f>
        <v>#REF!</v>
      </c>
    </row>
    <row r="20" spans="1:9" ht="15.6" x14ac:dyDescent="0.3">
      <c r="A20" s="133" t="s">
        <v>563</v>
      </c>
      <c r="B20" s="134"/>
      <c r="C20" s="44">
        <f>SUM('Stavební rozpočet'!AH12:AH269)</f>
        <v>0</v>
      </c>
      <c r="D20" s="141" t="s">
        <v>49</v>
      </c>
      <c r="E20" s="142"/>
      <c r="F20" s="45" t="s">
        <v>49</v>
      </c>
      <c r="G20" s="141" t="s">
        <v>49</v>
      </c>
      <c r="H20" s="142"/>
      <c r="I20" s="45" t="s">
        <v>49</v>
      </c>
    </row>
    <row r="21" spans="1:9" ht="15.6" x14ac:dyDescent="0.3">
      <c r="A21" s="148" t="s">
        <v>652</v>
      </c>
      <c r="B21" s="149"/>
      <c r="C21" s="47">
        <f>SUM('Stavební rozpočet'!Z12:Z269)</f>
        <v>0</v>
      </c>
      <c r="D21" s="143" t="s">
        <v>49</v>
      </c>
      <c r="E21" s="144"/>
      <c r="F21" s="48" t="s">
        <v>49</v>
      </c>
      <c r="G21" s="143" t="s">
        <v>49</v>
      </c>
      <c r="H21" s="144"/>
      <c r="I21" s="48" t="s">
        <v>49</v>
      </c>
    </row>
    <row r="22" spans="1:9" ht="16.5" customHeight="1" x14ac:dyDescent="0.3">
      <c r="A22" s="150" t="s">
        <v>653</v>
      </c>
      <c r="B22" s="146"/>
      <c r="C22" s="49">
        <f>ROUND(SUM(C14:C21),2)</f>
        <v>0</v>
      </c>
      <c r="D22" s="145" t="s">
        <v>654</v>
      </c>
      <c r="E22" s="146"/>
      <c r="F22" s="49" t="e">
        <f>SUM(F14:F21)</f>
        <v>#REF!</v>
      </c>
      <c r="G22" s="145" t="s">
        <v>655</v>
      </c>
      <c r="H22" s="146"/>
      <c r="I22" s="49" t="e">
        <f>SUM(I14:I21)</f>
        <v>#REF!</v>
      </c>
    </row>
    <row r="23" spans="1:9" ht="15.6" x14ac:dyDescent="0.3">
      <c r="D23" s="133" t="s">
        <v>656</v>
      </c>
      <c r="E23" s="134"/>
      <c r="F23" s="50">
        <v>0</v>
      </c>
      <c r="G23" s="147" t="s">
        <v>657</v>
      </c>
      <c r="H23" s="134"/>
      <c r="I23" s="44">
        <v>0</v>
      </c>
    </row>
    <row r="24" spans="1:9" ht="15.6" x14ac:dyDescent="0.3">
      <c r="G24" s="133" t="s">
        <v>658</v>
      </c>
      <c r="H24" s="134"/>
      <c r="I24" s="47" t="e">
        <f>vorn_sum</f>
        <v>#REF!</v>
      </c>
    </row>
    <row r="25" spans="1:9" ht="15.6" x14ac:dyDescent="0.3">
      <c r="G25" s="133" t="s">
        <v>659</v>
      </c>
      <c r="H25" s="134"/>
      <c r="I25" s="49">
        <v>0</v>
      </c>
    </row>
    <row r="27" spans="1:9" ht="15.6" x14ac:dyDescent="0.3">
      <c r="A27" s="135" t="s">
        <v>660</v>
      </c>
      <c r="B27" s="136"/>
      <c r="C27" s="51">
        <f>ROUND(SUM('Stavební rozpočet'!AJ12:AJ269),2)</f>
        <v>0</v>
      </c>
    </row>
    <row r="28" spans="1:9" ht="15.6" x14ac:dyDescent="0.3">
      <c r="A28" s="137" t="s">
        <v>661</v>
      </c>
      <c r="B28" s="138"/>
      <c r="C28" s="52">
        <f>ROUND(SUM('Stavební rozpočet'!AK12:AK269),2)</f>
        <v>0</v>
      </c>
      <c r="D28" s="139" t="s">
        <v>662</v>
      </c>
      <c r="E28" s="136"/>
      <c r="F28" s="51">
        <f>ROUND(C28*(12/100),2)</f>
        <v>0</v>
      </c>
      <c r="G28" s="139" t="s">
        <v>663</v>
      </c>
      <c r="H28" s="136"/>
      <c r="I28" s="51">
        <f>ROUND(SUM(C27:C29),2)</f>
        <v>0</v>
      </c>
    </row>
    <row r="29" spans="1:9" ht="15.6" x14ac:dyDescent="0.3">
      <c r="A29" s="137" t="s">
        <v>664</v>
      </c>
      <c r="B29" s="138"/>
      <c r="C29" s="52">
        <f>ROUND(SUM('Stavební rozpočet'!AL12:AL269),2)</f>
        <v>0</v>
      </c>
      <c r="D29" s="140" t="s">
        <v>665</v>
      </c>
      <c r="E29" s="138"/>
      <c r="F29" s="52">
        <f>ROUND(C29*(21/100),2)</f>
        <v>0</v>
      </c>
      <c r="G29" s="140" t="s">
        <v>666</v>
      </c>
      <c r="H29" s="138"/>
      <c r="I29" s="52">
        <f>ROUND(SUM(F28:F29)+I28,2)</f>
        <v>0</v>
      </c>
    </row>
    <row r="31" spans="1:9" x14ac:dyDescent="0.3">
      <c r="A31" s="130" t="s">
        <v>667</v>
      </c>
      <c r="B31" s="122"/>
      <c r="C31" s="123"/>
      <c r="D31" s="121" t="s">
        <v>668</v>
      </c>
      <c r="E31" s="122"/>
      <c r="F31" s="123"/>
      <c r="G31" s="121" t="s">
        <v>669</v>
      </c>
      <c r="H31" s="122"/>
      <c r="I31" s="123"/>
    </row>
    <row r="32" spans="1:9" x14ac:dyDescent="0.3">
      <c r="A32" s="131" t="s">
        <v>49</v>
      </c>
      <c r="B32" s="125"/>
      <c r="C32" s="126"/>
      <c r="D32" s="124" t="s">
        <v>49</v>
      </c>
      <c r="E32" s="125"/>
      <c r="F32" s="126"/>
      <c r="G32" s="124" t="s">
        <v>49</v>
      </c>
      <c r="H32" s="125"/>
      <c r="I32" s="126"/>
    </row>
    <row r="33" spans="1:9" x14ac:dyDescent="0.3">
      <c r="A33" s="131" t="s">
        <v>49</v>
      </c>
      <c r="B33" s="125"/>
      <c r="C33" s="126"/>
      <c r="D33" s="124" t="s">
        <v>49</v>
      </c>
      <c r="E33" s="125"/>
      <c r="F33" s="126"/>
      <c r="G33" s="124" t="s">
        <v>49</v>
      </c>
      <c r="H33" s="125"/>
      <c r="I33" s="126"/>
    </row>
    <row r="34" spans="1:9" x14ac:dyDescent="0.3">
      <c r="A34" s="131" t="s">
        <v>49</v>
      </c>
      <c r="B34" s="125"/>
      <c r="C34" s="126"/>
      <c r="D34" s="124" t="s">
        <v>49</v>
      </c>
      <c r="E34" s="125"/>
      <c r="F34" s="126"/>
      <c r="G34" s="124" t="s">
        <v>49</v>
      </c>
      <c r="H34" s="125"/>
      <c r="I34" s="126"/>
    </row>
    <row r="35" spans="1:9" x14ac:dyDescent="0.3">
      <c r="A35" s="132" t="s">
        <v>670</v>
      </c>
      <c r="B35" s="128"/>
      <c r="C35" s="129"/>
      <c r="D35" s="127" t="s">
        <v>670</v>
      </c>
      <c r="E35" s="128"/>
      <c r="F35" s="129"/>
      <c r="G35" s="127" t="s">
        <v>670</v>
      </c>
      <c r="H35" s="128"/>
      <c r="I35" s="129"/>
    </row>
    <row r="36" spans="1:9" ht="14.4" x14ac:dyDescent="0.3">
      <c r="A36" s="53" t="s">
        <v>628</v>
      </c>
    </row>
    <row r="37" spans="1:9" ht="12.75" customHeight="1" x14ac:dyDescent="0.3">
      <c r="A37" s="89" t="s">
        <v>49</v>
      </c>
      <c r="B37" s="90"/>
      <c r="C37" s="90"/>
      <c r="D37" s="90"/>
      <c r="E37" s="90"/>
      <c r="F37" s="90"/>
      <c r="G37" s="90"/>
      <c r="H37" s="90"/>
      <c r="I37" s="90"/>
    </row>
  </sheetData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272"/>
  <sheetViews>
    <sheetView workbookViewId="0">
      <pane ySplit="11" topLeftCell="A243" activePane="bottomLeft" state="frozen"/>
      <selection pane="bottomLeft" activeCell="H13" sqref="H13"/>
    </sheetView>
  </sheetViews>
  <sheetFormatPr defaultColWidth="12.109375" defaultRowHeight="15" customHeight="1" x14ac:dyDescent="0.3"/>
  <cols>
    <col min="1" max="1" width="4" customWidth="1"/>
    <col min="2" max="2" width="17.88671875" customWidth="1"/>
    <col min="3" max="3" width="42.88671875" customWidth="1"/>
    <col min="4" max="4" width="35.6640625" customWidth="1"/>
    <col min="5" max="5" width="8.44140625" customWidth="1"/>
    <col min="6" max="6" width="12.88671875" customWidth="1"/>
    <col min="7" max="7" width="12" customWidth="1"/>
    <col min="8" max="10" width="15.6640625" customWidth="1"/>
    <col min="11" max="11" width="14.6640625" customWidth="1"/>
    <col min="25" max="75" width="12.109375" hidden="1"/>
    <col min="76" max="76" width="78.5546875" hidden="1" customWidth="1"/>
    <col min="77" max="78" width="12.109375" hidden="1"/>
  </cols>
  <sheetData>
    <row r="1" spans="1:76" ht="54.75" customHeight="1" x14ac:dyDescent="0.3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ht="14.4" x14ac:dyDescent="0.3">
      <c r="A2" s="108" t="s">
        <v>1</v>
      </c>
      <c r="B2" s="109"/>
      <c r="C2" s="115" t="s">
        <v>2</v>
      </c>
      <c r="D2" s="116"/>
      <c r="E2" s="109" t="s">
        <v>3</v>
      </c>
      <c r="F2" s="109"/>
      <c r="G2" s="109" t="s">
        <v>4</v>
      </c>
      <c r="H2" s="114" t="s">
        <v>5</v>
      </c>
      <c r="I2" s="114" t="s">
        <v>6</v>
      </c>
      <c r="J2" s="109"/>
      <c r="K2" s="118"/>
    </row>
    <row r="3" spans="1:76" ht="14.4" x14ac:dyDescent="0.3">
      <c r="A3" s="110"/>
      <c r="B3" s="90"/>
      <c r="C3" s="117"/>
      <c r="D3" s="117"/>
      <c r="E3" s="90"/>
      <c r="F3" s="90"/>
      <c r="G3" s="90"/>
      <c r="H3" s="90"/>
      <c r="I3" s="90"/>
      <c r="J3" s="90"/>
      <c r="K3" s="119"/>
    </row>
    <row r="4" spans="1:76" ht="14.4" x14ac:dyDescent="0.3">
      <c r="A4" s="111" t="s">
        <v>7</v>
      </c>
      <c r="B4" s="90"/>
      <c r="C4" s="89" t="s">
        <v>8</v>
      </c>
      <c r="D4" s="90"/>
      <c r="E4" s="90" t="s">
        <v>9</v>
      </c>
      <c r="F4" s="90"/>
      <c r="G4" s="90" t="s">
        <v>10</v>
      </c>
      <c r="H4" s="89" t="s">
        <v>11</v>
      </c>
      <c r="I4" s="90" t="s">
        <v>12</v>
      </c>
      <c r="J4" s="90"/>
      <c r="K4" s="119"/>
    </row>
    <row r="5" spans="1:76" ht="14.4" x14ac:dyDescent="0.3">
      <c r="A5" s="110"/>
      <c r="B5" s="90"/>
      <c r="C5" s="90"/>
      <c r="D5" s="90"/>
      <c r="E5" s="90"/>
      <c r="F5" s="90"/>
      <c r="G5" s="90"/>
      <c r="H5" s="90"/>
      <c r="I5" s="90"/>
      <c r="J5" s="90"/>
      <c r="K5" s="119"/>
    </row>
    <row r="6" spans="1:76" ht="14.4" x14ac:dyDescent="0.3">
      <c r="A6" s="111" t="s">
        <v>13</v>
      </c>
      <c r="B6" s="90"/>
      <c r="C6" s="89" t="s">
        <v>14</v>
      </c>
      <c r="D6" s="90"/>
      <c r="E6" s="90" t="s">
        <v>15</v>
      </c>
      <c r="F6" s="90"/>
      <c r="G6" s="90" t="s">
        <v>4</v>
      </c>
      <c r="H6" s="89" t="s">
        <v>16</v>
      </c>
      <c r="I6" s="90" t="s">
        <v>12</v>
      </c>
      <c r="J6" s="90"/>
      <c r="K6" s="119"/>
    </row>
    <row r="7" spans="1:76" ht="14.4" x14ac:dyDescent="0.3">
      <c r="A7" s="110"/>
      <c r="B7" s="90"/>
      <c r="C7" s="90"/>
      <c r="D7" s="90"/>
      <c r="E7" s="90"/>
      <c r="F7" s="90"/>
      <c r="G7" s="90"/>
      <c r="H7" s="90"/>
      <c r="I7" s="90"/>
      <c r="J7" s="90"/>
      <c r="K7" s="119"/>
    </row>
    <row r="8" spans="1:76" ht="14.4" x14ac:dyDescent="0.3">
      <c r="A8" s="111" t="s">
        <v>17</v>
      </c>
      <c r="B8" s="90"/>
      <c r="C8" s="89" t="s">
        <v>4</v>
      </c>
      <c r="D8" s="90"/>
      <c r="E8" s="90" t="s">
        <v>18</v>
      </c>
      <c r="F8" s="90"/>
      <c r="G8" s="90" t="s">
        <v>10</v>
      </c>
      <c r="H8" s="89" t="s">
        <v>19</v>
      </c>
      <c r="I8" s="90" t="s">
        <v>12</v>
      </c>
      <c r="J8" s="90"/>
      <c r="K8" s="119"/>
    </row>
    <row r="9" spans="1:76" ht="14.4" x14ac:dyDescent="0.3">
      <c r="A9" s="112"/>
      <c r="B9" s="113"/>
      <c r="C9" s="113"/>
      <c r="D9" s="113"/>
      <c r="E9" s="113"/>
      <c r="F9" s="113"/>
      <c r="G9" s="113"/>
      <c r="H9" s="113"/>
      <c r="I9" s="113"/>
      <c r="J9" s="113"/>
      <c r="K9" s="120"/>
    </row>
    <row r="10" spans="1:76" ht="14.4" x14ac:dyDescent="0.3">
      <c r="A10" s="5" t="s">
        <v>20</v>
      </c>
      <c r="B10" s="6" t="s">
        <v>21</v>
      </c>
      <c r="C10" s="105" t="s">
        <v>22</v>
      </c>
      <c r="D10" s="106"/>
      <c r="E10" s="6" t="s">
        <v>23</v>
      </c>
      <c r="F10" s="7" t="s">
        <v>24</v>
      </c>
      <c r="G10" s="8" t="s">
        <v>25</v>
      </c>
      <c r="H10" s="100" t="s">
        <v>26</v>
      </c>
      <c r="I10" s="101"/>
      <c r="J10" s="102"/>
      <c r="K10" s="9" t="s">
        <v>27</v>
      </c>
      <c r="BK10" s="10" t="s">
        <v>28</v>
      </c>
      <c r="BL10" s="11" t="s">
        <v>29</v>
      </c>
      <c r="BW10" s="11" t="s">
        <v>30</v>
      </c>
    </row>
    <row r="11" spans="1:76" ht="14.4" x14ac:dyDescent="0.3">
      <c r="A11" s="12" t="s">
        <v>4</v>
      </c>
      <c r="B11" s="13" t="s">
        <v>4</v>
      </c>
      <c r="C11" s="98" t="s">
        <v>31</v>
      </c>
      <c r="D11" s="99"/>
      <c r="E11" s="13" t="s">
        <v>4</v>
      </c>
      <c r="F11" s="13" t="s">
        <v>4</v>
      </c>
      <c r="G11" s="14" t="s">
        <v>32</v>
      </c>
      <c r="H11" s="15" t="s">
        <v>33</v>
      </c>
      <c r="I11" s="16" t="s">
        <v>34</v>
      </c>
      <c r="J11" s="17" t="s">
        <v>35</v>
      </c>
      <c r="K11" s="18" t="s">
        <v>36</v>
      </c>
      <c r="Z11" s="10" t="s">
        <v>37</v>
      </c>
      <c r="AA11" s="10" t="s">
        <v>38</v>
      </c>
      <c r="AB11" s="10" t="s">
        <v>39</v>
      </c>
      <c r="AC11" s="10" t="s">
        <v>40</v>
      </c>
      <c r="AD11" s="10" t="s">
        <v>41</v>
      </c>
      <c r="AE11" s="10" t="s">
        <v>42</v>
      </c>
      <c r="AF11" s="10" t="s">
        <v>43</v>
      </c>
      <c r="AG11" s="10" t="s">
        <v>44</v>
      </c>
      <c r="AH11" s="10" t="s">
        <v>45</v>
      </c>
      <c r="BH11" s="10" t="s">
        <v>46</v>
      </c>
      <c r="BI11" s="10" t="s">
        <v>47</v>
      </c>
      <c r="BJ11" s="10" t="s">
        <v>48</v>
      </c>
    </row>
    <row r="12" spans="1:76" ht="14.4" x14ac:dyDescent="0.3">
      <c r="A12" s="19" t="s">
        <v>49</v>
      </c>
      <c r="B12" s="20" t="s">
        <v>50</v>
      </c>
      <c r="C12" s="103" t="s">
        <v>51</v>
      </c>
      <c r="D12" s="104"/>
      <c r="E12" s="21" t="s">
        <v>4</v>
      </c>
      <c r="F12" s="21" t="s">
        <v>4</v>
      </c>
      <c r="G12" s="21" t="s">
        <v>4</v>
      </c>
      <c r="H12" s="22">
        <f>SUM(H13:H16)</f>
        <v>0</v>
      </c>
      <c r="I12" s="22">
        <f>SUM(I13:I16)</f>
        <v>0</v>
      </c>
      <c r="J12" s="22">
        <f>SUM(J13:J16)</f>
        <v>0</v>
      </c>
      <c r="K12" s="23" t="s">
        <v>49</v>
      </c>
      <c r="AI12" s="10" t="s">
        <v>49</v>
      </c>
      <c r="AS12" s="1">
        <f>SUM(AJ13:AJ16)</f>
        <v>0</v>
      </c>
      <c r="AT12" s="1">
        <f>SUM(AK13:AK16)</f>
        <v>0</v>
      </c>
      <c r="AU12" s="1">
        <f>SUM(AL13:AL16)</f>
        <v>0</v>
      </c>
    </row>
    <row r="13" spans="1:76" ht="14.4" x14ac:dyDescent="0.3">
      <c r="A13" s="2" t="s">
        <v>52</v>
      </c>
      <c r="B13" s="3" t="s">
        <v>53</v>
      </c>
      <c r="C13" s="89" t="s">
        <v>54</v>
      </c>
      <c r="D13" s="90"/>
      <c r="E13" s="3" t="s">
        <v>55</v>
      </c>
      <c r="F13" s="24">
        <v>280</v>
      </c>
      <c r="G13" s="24">
        <v>0</v>
      </c>
      <c r="H13" s="24">
        <f>ROUND(F13*AO13,2)</f>
        <v>0</v>
      </c>
      <c r="I13" s="24">
        <f>ROUND(F13*AP13,2)</f>
        <v>0</v>
      </c>
      <c r="J13" s="24">
        <f>ROUND(F13*G13,2)</f>
        <v>0</v>
      </c>
      <c r="K13" s="25" t="s">
        <v>56</v>
      </c>
      <c r="Z13" s="24">
        <f>ROUND(IF(AQ13="5",BJ13,0),2)</f>
        <v>0</v>
      </c>
      <c r="AB13" s="24">
        <f>ROUND(IF(AQ13="1",BH13,0),2)</f>
        <v>0</v>
      </c>
      <c r="AC13" s="24">
        <f>ROUND(IF(AQ13="1",BI13,0),2)</f>
        <v>0</v>
      </c>
      <c r="AD13" s="24">
        <f>ROUND(IF(AQ13="7",BH13,0),2)</f>
        <v>0</v>
      </c>
      <c r="AE13" s="24">
        <f>ROUND(IF(AQ13="7",BI13,0),2)</f>
        <v>0</v>
      </c>
      <c r="AF13" s="24">
        <f>ROUND(IF(AQ13="2",BH13,0),2)</f>
        <v>0</v>
      </c>
      <c r="AG13" s="24">
        <f>ROUND(IF(AQ13="2",BI13,0),2)</f>
        <v>0</v>
      </c>
      <c r="AH13" s="24">
        <f>ROUND(IF(AQ13="0",BJ13,0),2)</f>
        <v>0</v>
      </c>
      <c r="AI13" s="10" t="s">
        <v>49</v>
      </c>
      <c r="AJ13" s="24">
        <f>IF(AN13=0,J13,0)</f>
        <v>0</v>
      </c>
      <c r="AK13" s="24">
        <f>IF(AN13=12,J13,0)</f>
        <v>0</v>
      </c>
      <c r="AL13" s="24">
        <f>IF(AN13=21,J13,0)</f>
        <v>0</v>
      </c>
      <c r="AN13" s="24">
        <v>12</v>
      </c>
      <c r="AO13" s="24">
        <f>G13*0.282821814</f>
        <v>0</v>
      </c>
      <c r="AP13" s="24">
        <f>G13*(1-0.282821814)</f>
        <v>0</v>
      </c>
      <c r="AQ13" s="26" t="s">
        <v>52</v>
      </c>
      <c r="AV13" s="24">
        <f>ROUND(AW13+AX13,2)</f>
        <v>0</v>
      </c>
      <c r="AW13" s="24">
        <f>ROUND(F13*AO13,2)</f>
        <v>0</v>
      </c>
      <c r="AX13" s="24">
        <f>ROUND(F13*AP13,2)</f>
        <v>0</v>
      </c>
      <c r="AY13" s="26" t="s">
        <v>57</v>
      </c>
      <c r="AZ13" s="26" t="s">
        <v>58</v>
      </c>
      <c r="BA13" s="10" t="s">
        <v>59</v>
      </c>
      <c r="BC13" s="24">
        <f>AW13+AX13</f>
        <v>0</v>
      </c>
      <c r="BD13" s="24">
        <f>G13/(100-BE13)*100</f>
        <v>0</v>
      </c>
      <c r="BE13" s="24">
        <v>0</v>
      </c>
      <c r="BF13" s="24">
        <f>13</f>
        <v>13</v>
      </c>
      <c r="BH13" s="24">
        <f>F13*AO13</f>
        <v>0</v>
      </c>
      <c r="BI13" s="24">
        <f>F13*AP13</f>
        <v>0</v>
      </c>
      <c r="BJ13" s="24">
        <f>F13*G13</f>
        <v>0</v>
      </c>
      <c r="BK13" s="24"/>
      <c r="BL13" s="24">
        <v>62</v>
      </c>
      <c r="BW13" s="24">
        <v>12</v>
      </c>
      <c r="BX13" s="4" t="s">
        <v>54</v>
      </c>
    </row>
    <row r="14" spans="1:76" ht="14.4" x14ac:dyDescent="0.3">
      <c r="A14" s="2" t="s">
        <v>60</v>
      </c>
      <c r="B14" s="3" t="s">
        <v>61</v>
      </c>
      <c r="C14" s="89" t="s">
        <v>62</v>
      </c>
      <c r="D14" s="90"/>
      <c r="E14" s="3" t="s">
        <v>55</v>
      </c>
      <c r="F14" s="24">
        <v>134</v>
      </c>
      <c r="G14" s="24">
        <v>0</v>
      </c>
      <c r="H14" s="24">
        <f>ROUND(F14*AO14,2)</f>
        <v>0</v>
      </c>
      <c r="I14" s="24">
        <f>ROUND(F14*AP14,2)</f>
        <v>0</v>
      </c>
      <c r="J14" s="24">
        <f>ROUND(F14*G14,2)</f>
        <v>0</v>
      </c>
      <c r="K14" s="25" t="s">
        <v>56</v>
      </c>
      <c r="Z14" s="24">
        <f>ROUND(IF(AQ14="5",BJ14,0),2)</f>
        <v>0</v>
      </c>
      <c r="AB14" s="24">
        <f>ROUND(IF(AQ14="1",BH14,0),2)</f>
        <v>0</v>
      </c>
      <c r="AC14" s="24">
        <f>ROUND(IF(AQ14="1",BI14,0),2)</f>
        <v>0</v>
      </c>
      <c r="AD14" s="24">
        <f>ROUND(IF(AQ14="7",BH14,0),2)</f>
        <v>0</v>
      </c>
      <c r="AE14" s="24">
        <f>ROUND(IF(AQ14="7",BI14,0),2)</f>
        <v>0</v>
      </c>
      <c r="AF14" s="24">
        <f>ROUND(IF(AQ14="2",BH14,0),2)</f>
        <v>0</v>
      </c>
      <c r="AG14" s="24">
        <f>ROUND(IF(AQ14="2",BI14,0),2)</f>
        <v>0</v>
      </c>
      <c r="AH14" s="24">
        <f>ROUND(IF(AQ14="0",BJ14,0),2)</f>
        <v>0</v>
      </c>
      <c r="AI14" s="10" t="s">
        <v>49</v>
      </c>
      <c r="AJ14" s="24">
        <f>IF(AN14=0,J14,0)</f>
        <v>0</v>
      </c>
      <c r="AK14" s="24">
        <f>IF(AN14=12,J14,0)</f>
        <v>0</v>
      </c>
      <c r="AL14" s="24">
        <f>IF(AN14=21,J14,0)</f>
        <v>0</v>
      </c>
      <c r="AN14" s="24">
        <v>12</v>
      </c>
      <c r="AO14" s="24">
        <f>G14*0.115594857</f>
        <v>0</v>
      </c>
      <c r="AP14" s="24">
        <f>G14*(1-0.115594857)</f>
        <v>0</v>
      </c>
      <c r="AQ14" s="26" t="s">
        <v>52</v>
      </c>
      <c r="AV14" s="24">
        <f>ROUND(AW14+AX14,2)</f>
        <v>0</v>
      </c>
      <c r="AW14" s="24">
        <f>ROUND(F14*AO14,2)</f>
        <v>0</v>
      </c>
      <c r="AX14" s="24">
        <f>ROUND(F14*AP14,2)</f>
        <v>0</v>
      </c>
      <c r="AY14" s="26" t="s">
        <v>57</v>
      </c>
      <c r="AZ14" s="26" t="s">
        <v>58</v>
      </c>
      <c r="BA14" s="10" t="s">
        <v>59</v>
      </c>
      <c r="BC14" s="24">
        <f>AW14+AX14</f>
        <v>0</v>
      </c>
      <c r="BD14" s="24">
        <f>G14/(100-BE14)*100</f>
        <v>0</v>
      </c>
      <c r="BE14" s="24">
        <v>0</v>
      </c>
      <c r="BF14" s="24">
        <f>14</f>
        <v>14</v>
      </c>
      <c r="BH14" s="24">
        <f>F14*AO14</f>
        <v>0</v>
      </c>
      <c r="BI14" s="24">
        <f>F14*AP14</f>
        <v>0</v>
      </c>
      <c r="BJ14" s="24">
        <f>F14*G14</f>
        <v>0</v>
      </c>
      <c r="BK14" s="24"/>
      <c r="BL14" s="24">
        <v>62</v>
      </c>
      <c r="BW14" s="24">
        <v>12</v>
      </c>
      <c r="BX14" s="4" t="s">
        <v>62</v>
      </c>
    </row>
    <row r="15" spans="1:76" ht="39.6" x14ac:dyDescent="0.3">
      <c r="A15" s="27"/>
      <c r="B15" s="28" t="s">
        <v>63</v>
      </c>
      <c r="C15" s="95" t="s">
        <v>64</v>
      </c>
      <c r="D15" s="96"/>
      <c r="E15" s="96"/>
      <c r="F15" s="96"/>
      <c r="G15" s="96"/>
      <c r="H15" s="96"/>
      <c r="I15" s="96"/>
      <c r="J15" s="96"/>
      <c r="K15" s="97"/>
      <c r="BX15" s="29" t="s">
        <v>64</v>
      </c>
    </row>
    <row r="16" spans="1:76" ht="14.4" x14ac:dyDescent="0.3">
      <c r="A16" s="2" t="s">
        <v>65</v>
      </c>
      <c r="B16" s="3" t="s">
        <v>66</v>
      </c>
      <c r="C16" s="89" t="s">
        <v>67</v>
      </c>
      <c r="D16" s="90"/>
      <c r="E16" s="3" t="s">
        <v>55</v>
      </c>
      <c r="F16" s="24">
        <v>146</v>
      </c>
      <c r="G16" s="24">
        <v>0</v>
      </c>
      <c r="H16" s="24">
        <f>ROUND(F16*AO16,2)</f>
        <v>0</v>
      </c>
      <c r="I16" s="24">
        <f>ROUND(F16*AP16,2)</f>
        <v>0</v>
      </c>
      <c r="J16" s="24">
        <f>ROUND(F16*G16,2)</f>
        <v>0</v>
      </c>
      <c r="K16" s="25" t="s">
        <v>56</v>
      </c>
      <c r="Z16" s="24">
        <f>ROUND(IF(AQ16="5",BJ16,0),2)</f>
        <v>0</v>
      </c>
      <c r="AB16" s="24">
        <f>ROUND(IF(AQ16="1",BH16,0),2)</f>
        <v>0</v>
      </c>
      <c r="AC16" s="24">
        <f>ROUND(IF(AQ16="1",BI16,0),2)</f>
        <v>0</v>
      </c>
      <c r="AD16" s="24">
        <f>ROUND(IF(AQ16="7",BH16,0),2)</f>
        <v>0</v>
      </c>
      <c r="AE16" s="24">
        <f>ROUND(IF(AQ16="7",BI16,0),2)</f>
        <v>0</v>
      </c>
      <c r="AF16" s="24">
        <f>ROUND(IF(AQ16="2",BH16,0),2)</f>
        <v>0</v>
      </c>
      <c r="AG16" s="24">
        <f>ROUND(IF(AQ16="2",BI16,0),2)</f>
        <v>0</v>
      </c>
      <c r="AH16" s="24">
        <f>ROUND(IF(AQ16="0",BJ16,0),2)</f>
        <v>0</v>
      </c>
      <c r="AI16" s="10" t="s">
        <v>49</v>
      </c>
      <c r="AJ16" s="24">
        <f>IF(AN16=0,J16,0)</f>
        <v>0</v>
      </c>
      <c r="AK16" s="24">
        <f>IF(AN16=12,J16,0)</f>
        <v>0</v>
      </c>
      <c r="AL16" s="24">
        <f>IF(AN16=21,J16,0)</f>
        <v>0</v>
      </c>
      <c r="AN16" s="24">
        <v>12</v>
      </c>
      <c r="AO16" s="24">
        <f>G16*0.116982079</f>
        <v>0</v>
      </c>
      <c r="AP16" s="24">
        <f>G16*(1-0.116982079)</f>
        <v>0</v>
      </c>
      <c r="AQ16" s="26" t="s">
        <v>52</v>
      </c>
      <c r="AV16" s="24">
        <f>ROUND(AW16+AX16,2)</f>
        <v>0</v>
      </c>
      <c r="AW16" s="24">
        <f>ROUND(F16*AO16,2)</f>
        <v>0</v>
      </c>
      <c r="AX16" s="24">
        <f>ROUND(F16*AP16,2)</f>
        <v>0</v>
      </c>
      <c r="AY16" s="26" t="s">
        <v>57</v>
      </c>
      <c r="AZ16" s="26" t="s">
        <v>58</v>
      </c>
      <c r="BA16" s="10" t="s">
        <v>59</v>
      </c>
      <c r="BC16" s="24">
        <f>AW16+AX16</f>
        <v>0</v>
      </c>
      <c r="BD16" s="24">
        <f>G16/(100-BE16)*100</f>
        <v>0</v>
      </c>
      <c r="BE16" s="24">
        <v>0</v>
      </c>
      <c r="BF16" s="24">
        <f>16</f>
        <v>16</v>
      </c>
      <c r="BH16" s="24">
        <f>F16*AO16</f>
        <v>0</v>
      </c>
      <c r="BI16" s="24">
        <f>F16*AP16</f>
        <v>0</v>
      </c>
      <c r="BJ16" s="24">
        <f>F16*G16</f>
        <v>0</v>
      </c>
      <c r="BK16" s="24"/>
      <c r="BL16" s="24">
        <v>62</v>
      </c>
      <c r="BW16" s="24">
        <v>12</v>
      </c>
      <c r="BX16" s="4" t="s">
        <v>67</v>
      </c>
    </row>
    <row r="17" spans="1:76" ht="39.6" x14ac:dyDescent="0.3">
      <c r="A17" s="27"/>
      <c r="B17" s="28" t="s">
        <v>63</v>
      </c>
      <c r="C17" s="95" t="s">
        <v>68</v>
      </c>
      <c r="D17" s="96"/>
      <c r="E17" s="96"/>
      <c r="F17" s="96"/>
      <c r="G17" s="96"/>
      <c r="H17" s="96"/>
      <c r="I17" s="96"/>
      <c r="J17" s="96"/>
      <c r="K17" s="97"/>
      <c r="BX17" s="29" t="s">
        <v>68</v>
      </c>
    </row>
    <row r="18" spans="1:76" ht="14.4" x14ac:dyDescent="0.3">
      <c r="A18" s="30" t="s">
        <v>49</v>
      </c>
      <c r="B18" s="31" t="s">
        <v>69</v>
      </c>
      <c r="C18" s="91" t="s">
        <v>70</v>
      </c>
      <c r="D18" s="92"/>
      <c r="E18" s="32" t="s">
        <v>4</v>
      </c>
      <c r="F18" s="32" t="s">
        <v>4</v>
      </c>
      <c r="G18" s="32" t="s">
        <v>4</v>
      </c>
      <c r="H18" s="1">
        <f>SUM(H19:H19)</f>
        <v>0</v>
      </c>
      <c r="I18" s="1">
        <f>SUM(I19:I19)</f>
        <v>0</v>
      </c>
      <c r="J18" s="1">
        <f>SUM(J19:J19)</f>
        <v>0</v>
      </c>
      <c r="K18" s="33" t="s">
        <v>49</v>
      </c>
      <c r="AI18" s="10" t="s">
        <v>49</v>
      </c>
      <c r="AS18" s="1">
        <f>SUM(AJ19:AJ19)</f>
        <v>0</v>
      </c>
      <c r="AT18" s="1">
        <f>SUM(AK19:AK19)</f>
        <v>0</v>
      </c>
      <c r="AU18" s="1">
        <f>SUM(AL19:AL19)</f>
        <v>0</v>
      </c>
    </row>
    <row r="19" spans="1:76" ht="14.4" x14ac:dyDescent="0.3">
      <c r="A19" s="2" t="s">
        <v>71</v>
      </c>
      <c r="B19" s="3" t="s">
        <v>72</v>
      </c>
      <c r="C19" s="89" t="s">
        <v>73</v>
      </c>
      <c r="D19" s="90"/>
      <c r="E19" s="3" t="s">
        <v>55</v>
      </c>
      <c r="F19" s="24">
        <v>1030</v>
      </c>
      <c r="G19" s="24">
        <v>0</v>
      </c>
      <c r="H19" s="24">
        <f>ROUND(F19*AO19,2)</f>
        <v>0</v>
      </c>
      <c r="I19" s="24">
        <f>ROUND(F19*AP19,2)</f>
        <v>0</v>
      </c>
      <c r="J19" s="24">
        <f>ROUND(F19*G19,2)</f>
        <v>0</v>
      </c>
      <c r="K19" s="25" t="s">
        <v>56</v>
      </c>
      <c r="Z19" s="24">
        <f>ROUND(IF(AQ19="5",BJ19,0),2)</f>
        <v>0</v>
      </c>
      <c r="AB19" s="24">
        <f>ROUND(IF(AQ19="1",BH19,0),2)</f>
        <v>0</v>
      </c>
      <c r="AC19" s="24">
        <f>ROUND(IF(AQ19="1",BI19,0),2)</f>
        <v>0</v>
      </c>
      <c r="AD19" s="24">
        <f>ROUND(IF(AQ19="7",BH19,0),2)</f>
        <v>0</v>
      </c>
      <c r="AE19" s="24">
        <f>ROUND(IF(AQ19="7",BI19,0),2)</f>
        <v>0</v>
      </c>
      <c r="AF19" s="24">
        <f>ROUND(IF(AQ19="2",BH19,0),2)</f>
        <v>0</v>
      </c>
      <c r="AG19" s="24">
        <f>ROUND(IF(AQ19="2",BI19,0),2)</f>
        <v>0</v>
      </c>
      <c r="AH19" s="24">
        <f>ROUND(IF(AQ19="0",BJ19,0),2)</f>
        <v>0</v>
      </c>
      <c r="AI19" s="10" t="s">
        <v>49</v>
      </c>
      <c r="AJ19" s="24">
        <f>IF(AN19=0,J19,0)</f>
        <v>0</v>
      </c>
      <c r="AK19" s="24">
        <f>IF(AN19=12,J19,0)</f>
        <v>0</v>
      </c>
      <c r="AL19" s="24">
        <f>IF(AN19=21,J19,0)</f>
        <v>0</v>
      </c>
      <c r="AN19" s="24">
        <v>12</v>
      </c>
      <c r="AO19" s="24">
        <f>G19*0.136016949</f>
        <v>0</v>
      </c>
      <c r="AP19" s="24">
        <f>G19*(1-0.136016949)</f>
        <v>0</v>
      </c>
      <c r="AQ19" s="26" t="s">
        <v>74</v>
      </c>
      <c r="AV19" s="24">
        <f>ROUND(AW19+AX19,2)</f>
        <v>0</v>
      </c>
      <c r="AW19" s="24">
        <f>ROUND(F19*AO19,2)</f>
        <v>0</v>
      </c>
      <c r="AX19" s="24">
        <f>ROUND(F19*AP19,2)</f>
        <v>0</v>
      </c>
      <c r="AY19" s="26" t="s">
        <v>75</v>
      </c>
      <c r="AZ19" s="26" t="s">
        <v>76</v>
      </c>
      <c r="BA19" s="10" t="s">
        <v>59</v>
      </c>
      <c r="BC19" s="24">
        <f>AW19+AX19</f>
        <v>0</v>
      </c>
      <c r="BD19" s="24">
        <f>G19/(100-BE19)*100</f>
        <v>0</v>
      </c>
      <c r="BE19" s="24">
        <v>0</v>
      </c>
      <c r="BF19" s="24">
        <f>19</f>
        <v>19</v>
      </c>
      <c r="BH19" s="24">
        <f>F19*AO19</f>
        <v>0</v>
      </c>
      <c r="BI19" s="24">
        <f>F19*AP19</f>
        <v>0</v>
      </c>
      <c r="BJ19" s="24">
        <f>F19*G19</f>
        <v>0</v>
      </c>
      <c r="BK19" s="24"/>
      <c r="BL19" s="24">
        <v>712</v>
      </c>
      <c r="BW19" s="24">
        <v>12</v>
      </c>
      <c r="BX19" s="4" t="s">
        <v>73</v>
      </c>
    </row>
    <row r="20" spans="1:76" ht="14.4" x14ac:dyDescent="0.3">
      <c r="A20" s="27"/>
      <c r="B20" s="28" t="s">
        <v>63</v>
      </c>
      <c r="C20" s="95" t="s">
        <v>77</v>
      </c>
      <c r="D20" s="96"/>
      <c r="E20" s="96"/>
      <c r="F20" s="96"/>
      <c r="G20" s="96"/>
      <c r="H20" s="96"/>
      <c r="I20" s="96"/>
      <c r="J20" s="96"/>
      <c r="K20" s="97"/>
      <c r="BX20" s="29" t="s">
        <v>77</v>
      </c>
    </row>
    <row r="21" spans="1:76" ht="14.4" x14ac:dyDescent="0.3">
      <c r="A21" s="30" t="s">
        <v>49</v>
      </c>
      <c r="B21" s="31" t="s">
        <v>78</v>
      </c>
      <c r="C21" s="91" t="s">
        <v>79</v>
      </c>
      <c r="D21" s="92"/>
      <c r="E21" s="32" t="s">
        <v>4</v>
      </c>
      <c r="F21" s="32" t="s">
        <v>4</v>
      </c>
      <c r="G21" s="32" t="s">
        <v>4</v>
      </c>
      <c r="H21" s="1">
        <f>SUM(H22:H25)</f>
        <v>0</v>
      </c>
      <c r="I21" s="1">
        <f>SUM(I22:I25)</f>
        <v>0</v>
      </c>
      <c r="J21" s="1">
        <f>SUM(J22:J25)</f>
        <v>0</v>
      </c>
      <c r="K21" s="33" t="s">
        <v>49</v>
      </c>
      <c r="AI21" s="10" t="s">
        <v>49</v>
      </c>
      <c r="AS21" s="1">
        <f>SUM(AJ22:AJ25)</f>
        <v>0</v>
      </c>
      <c r="AT21" s="1">
        <f>SUM(AK22:AK25)</f>
        <v>0</v>
      </c>
      <c r="AU21" s="1">
        <f>SUM(AL22:AL25)</f>
        <v>0</v>
      </c>
    </row>
    <row r="22" spans="1:76" ht="14.4" x14ac:dyDescent="0.3">
      <c r="A22" s="2" t="s">
        <v>80</v>
      </c>
      <c r="B22" s="3" t="s">
        <v>81</v>
      </c>
      <c r="C22" s="89" t="s">
        <v>82</v>
      </c>
      <c r="D22" s="90"/>
      <c r="E22" s="3" t="s">
        <v>83</v>
      </c>
      <c r="F22" s="24">
        <v>75</v>
      </c>
      <c r="G22" s="24">
        <v>0</v>
      </c>
      <c r="H22" s="24">
        <f>ROUND(F22*AO22,2)</f>
        <v>0</v>
      </c>
      <c r="I22" s="24">
        <f>ROUND(F22*AP22,2)</f>
        <v>0</v>
      </c>
      <c r="J22" s="24">
        <f>ROUND(F22*G22,2)</f>
        <v>0</v>
      </c>
      <c r="K22" s="25" t="s">
        <v>84</v>
      </c>
      <c r="Z22" s="24">
        <f>ROUND(IF(AQ22="5",BJ22,0),2)</f>
        <v>0</v>
      </c>
      <c r="AB22" s="24">
        <f>ROUND(IF(AQ22="1",BH22,0),2)</f>
        <v>0</v>
      </c>
      <c r="AC22" s="24">
        <f>ROUND(IF(AQ22="1",BI22,0),2)</f>
        <v>0</v>
      </c>
      <c r="AD22" s="24">
        <f>ROUND(IF(AQ22="7",BH22,0),2)</f>
        <v>0</v>
      </c>
      <c r="AE22" s="24">
        <f>ROUND(IF(AQ22="7",BI22,0),2)</f>
        <v>0</v>
      </c>
      <c r="AF22" s="24">
        <f>ROUND(IF(AQ22="2",BH22,0),2)</f>
        <v>0</v>
      </c>
      <c r="AG22" s="24">
        <f>ROUND(IF(AQ22="2",BI22,0),2)</f>
        <v>0</v>
      </c>
      <c r="AH22" s="24">
        <f>ROUND(IF(AQ22="0",BJ22,0),2)</f>
        <v>0</v>
      </c>
      <c r="AI22" s="10" t="s">
        <v>49</v>
      </c>
      <c r="AJ22" s="24">
        <f>IF(AN22=0,J22,0)</f>
        <v>0</v>
      </c>
      <c r="AK22" s="24">
        <f>IF(AN22=12,J22,0)</f>
        <v>0</v>
      </c>
      <c r="AL22" s="24">
        <f>IF(AN22=21,J22,0)</f>
        <v>0</v>
      </c>
      <c r="AN22" s="24">
        <v>12</v>
      </c>
      <c r="AO22" s="24">
        <f>G22*0.74327153</f>
        <v>0</v>
      </c>
      <c r="AP22" s="24">
        <f>G22*(1-0.74327153)</f>
        <v>0</v>
      </c>
      <c r="AQ22" s="26" t="s">
        <v>74</v>
      </c>
      <c r="AV22" s="24">
        <f>ROUND(AW22+AX22,2)</f>
        <v>0</v>
      </c>
      <c r="AW22" s="24">
        <f>ROUND(F22*AO22,2)</f>
        <v>0</v>
      </c>
      <c r="AX22" s="24">
        <f>ROUND(F22*AP22,2)</f>
        <v>0</v>
      </c>
      <c r="AY22" s="26" t="s">
        <v>85</v>
      </c>
      <c r="AZ22" s="26" t="s">
        <v>76</v>
      </c>
      <c r="BA22" s="10" t="s">
        <v>59</v>
      </c>
      <c r="BC22" s="24">
        <f>AW22+AX22</f>
        <v>0</v>
      </c>
      <c r="BD22" s="24">
        <f>G22/(100-BE22)*100</f>
        <v>0</v>
      </c>
      <c r="BE22" s="24">
        <v>0</v>
      </c>
      <c r="BF22" s="24">
        <f>22</f>
        <v>22</v>
      </c>
      <c r="BH22" s="24">
        <f>F22*AO22</f>
        <v>0</v>
      </c>
      <c r="BI22" s="24">
        <f>F22*AP22</f>
        <v>0</v>
      </c>
      <c r="BJ22" s="24">
        <f>F22*G22</f>
        <v>0</v>
      </c>
      <c r="BK22" s="24"/>
      <c r="BL22" s="24">
        <v>713</v>
      </c>
      <c r="BW22" s="24">
        <v>12</v>
      </c>
      <c r="BX22" s="4" t="s">
        <v>82</v>
      </c>
    </row>
    <row r="23" spans="1:76" ht="13.5" customHeight="1" x14ac:dyDescent="0.3">
      <c r="A23" s="27"/>
      <c r="B23" s="28" t="s">
        <v>86</v>
      </c>
      <c r="C23" s="95"/>
      <c r="D23" s="96"/>
      <c r="E23" s="96"/>
      <c r="F23" s="96"/>
      <c r="G23" s="96"/>
      <c r="H23" s="96"/>
      <c r="I23" s="96"/>
      <c r="J23" s="96"/>
      <c r="K23" s="97"/>
    </row>
    <row r="24" spans="1:76" ht="39.6" x14ac:dyDescent="0.3">
      <c r="A24" s="27"/>
      <c r="B24" s="28" t="s">
        <v>63</v>
      </c>
      <c r="C24" s="95" t="s">
        <v>87</v>
      </c>
      <c r="D24" s="96"/>
      <c r="E24" s="96"/>
      <c r="F24" s="96"/>
      <c r="G24" s="96"/>
      <c r="H24" s="96"/>
      <c r="I24" s="96"/>
      <c r="J24" s="96"/>
      <c r="K24" s="97"/>
      <c r="BX24" s="29" t="s">
        <v>87</v>
      </c>
    </row>
    <row r="25" spans="1:76" ht="14.4" x14ac:dyDescent="0.3">
      <c r="A25" s="2" t="s">
        <v>88</v>
      </c>
      <c r="B25" s="3" t="s">
        <v>89</v>
      </c>
      <c r="C25" s="89" t="s">
        <v>90</v>
      </c>
      <c r="D25" s="90"/>
      <c r="E25" s="3" t="s">
        <v>83</v>
      </c>
      <c r="F25" s="24">
        <v>24</v>
      </c>
      <c r="G25" s="24">
        <v>0</v>
      </c>
      <c r="H25" s="24">
        <f>ROUND(F25*AO25,2)</f>
        <v>0</v>
      </c>
      <c r="I25" s="24">
        <f>ROUND(F25*AP25,2)</f>
        <v>0</v>
      </c>
      <c r="J25" s="24">
        <f>ROUND(F25*G25,2)</f>
        <v>0</v>
      </c>
      <c r="K25" s="25" t="s">
        <v>56</v>
      </c>
      <c r="Z25" s="24">
        <f>ROUND(IF(AQ25="5",BJ25,0),2)</f>
        <v>0</v>
      </c>
      <c r="AB25" s="24">
        <f>ROUND(IF(AQ25="1",BH25,0),2)</f>
        <v>0</v>
      </c>
      <c r="AC25" s="24">
        <f>ROUND(IF(AQ25="1",BI25,0),2)</f>
        <v>0</v>
      </c>
      <c r="AD25" s="24">
        <f>ROUND(IF(AQ25="7",BH25,0),2)</f>
        <v>0</v>
      </c>
      <c r="AE25" s="24">
        <f>ROUND(IF(AQ25="7",BI25,0),2)</f>
        <v>0</v>
      </c>
      <c r="AF25" s="24">
        <f>ROUND(IF(AQ25="2",BH25,0),2)</f>
        <v>0</v>
      </c>
      <c r="AG25" s="24">
        <f>ROUND(IF(AQ25="2",BI25,0),2)</f>
        <v>0</v>
      </c>
      <c r="AH25" s="24">
        <f>ROUND(IF(AQ25="0",BJ25,0),2)</f>
        <v>0</v>
      </c>
      <c r="AI25" s="10" t="s">
        <v>49</v>
      </c>
      <c r="AJ25" s="24">
        <f>IF(AN25=0,J25,0)</f>
        <v>0</v>
      </c>
      <c r="AK25" s="24">
        <f>IF(AN25=12,J25,0)</f>
        <v>0</v>
      </c>
      <c r="AL25" s="24">
        <f>IF(AN25=21,J25,0)</f>
        <v>0</v>
      </c>
      <c r="AN25" s="24">
        <v>12</v>
      </c>
      <c r="AO25" s="24">
        <f>G25*0.601776493</f>
        <v>0</v>
      </c>
      <c r="AP25" s="24">
        <f>G25*(1-0.601776493)</f>
        <v>0</v>
      </c>
      <c r="AQ25" s="26" t="s">
        <v>74</v>
      </c>
      <c r="AV25" s="24">
        <f>ROUND(AW25+AX25,2)</f>
        <v>0</v>
      </c>
      <c r="AW25" s="24">
        <f>ROUND(F25*AO25,2)</f>
        <v>0</v>
      </c>
      <c r="AX25" s="24">
        <f>ROUND(F25*AP25,2)</f>
        <v>0</v>
      </c>
      <c r="AY25" s="26" t="s">
        <v>85</v>
      </c>
      <c r="AZ25" s="26" t="s">
        <v>76</v>
      </c>
      <c r="BA25" s="10" t="s">
        <v>59</v>
      </c>
      <c r="BC25" s="24">
        <f>AW25+AX25</f>
        <v>0</v>
      </c>
      <c r="BD25" s="24">
        <f>G25/(100-BE25)*100</f>
        <v>0</v>
      </c>
      <c r="BE25" s="24">
        <v>0</v>
      </c>
      <c r="BF25" s="24">
        <f>25</f>
        <v>25</v>
      </c>
      <c r="BH25" s="24">
        <f>F25*AO25</f>
        <v>0</v>
      </c>
      <c r="BI25" s="24">
        <f>F25*AP25</f>
        <v>0</v>
      </c>
      <c r="BJ25" s="24">
        <f>F25*G25</f>
        <v>0</v>
      </c>
      <c r="BK25" s="24"/>
      <c r="BL25" s="24">
        <v>713</v>
      </c>
      <c r="BW25" s="24">
        <v>12</v>
      </c>
      <c r="BX25" s="4" t="s">
        <v>90</v>
      </c>
    </row>
    <row r="26" spans="1:76" ht="39.6" x14ac:dyDescent="0.3">
      <c r="A26" s="27"/>
      <c r="B26" s="28" t="s">
        <v>63</v>
      </c>
      <c r="C26" s="95" t="s">
        <v>738</v>
      </c>
      <c r="D26" s="96"/>
      <c r="E26" s="96"/>
      <c r="F26" s="96"/>
      <c r="G26" s="96"/>
      <c r="H26" s="96"/>
      <c r="I26" s="96"/>
      <c r="J26" s="96"/>
      <c r="K26" s="97"/>
      <c r="BX26" s="29" t="s">
        <v>91</v>
      </c>
    </row>
    <row r="27" spans="1:76" ht="14.4" x14ac:dyDescent="0.3">
      <c r="A27" s="30" t="s">
        <v>49</v>
      </c>
      <c r="B27" s="31" t="s">
        <v>92</v>
      </c>
      <c r="C27" s="91" t="s">
        <v>93</v>
      </c>
      <c r="D27" s="92"/>
      <c r="E27" s="32" t="s">
        <v>4</v>
      </c>
      <c r="F27" s="32" t="s">
        <v>4</v>
      </c>
      <c r="G27" s="32" t="s">
        <v>4</v>
      </c>
      <c r="H27" s="1">
        <f>SUM(H28:H31)</f>
        <v>0</v>
      </c>
      <c r="I27" s="1">
        <f>SUM(I28:I31)</f>
        <v>0</v>
      </c>
      <c r="J27" s="1">
        <f>SUM(J28:J31)</f>
        <v>0</v>
      </c>
      <c r="K27" s="33" t="s">
        <v>49</v>
      </c>
      <c r="AI27" s="10" t="s">
        <v>49</v>
      </c>
      <c r="AS27" s="1">
        <f>SUM(AJ28:AJ31)</f>
        <v>0</v>
      </c>
      <c r="AT27" s="1">
        <f>SUM(AK28:AK31)</f>
        <v>0</v>
      </c>
      <c r="AU27" s="1">
        <f>SUM(AL28:AL31)</f>
        <v>0</v>
      </c>
    </row>
    <row r="28" spans="1:76" ht="26.4" x14ac:dyDescent="0.3">
      <c r="A28" s="2" t="s">
        <v>74</v>
      </c>
      <c r="B28" s="3" t="s">
        <v>94</v>
      </c>
      <c r="C28" s="89" t="s">
        <v>95</v>
      </c>
      <c r="D28" s="90"/>
      <c r="E28" s="3" t="s">
        <v>96</v>
      </c>
      <c r="F28" s="24">
        <v>5</v>
      </c>
      <c r="G28" s="24">
        <v>0</v>
      </c>
      <c r="H28" s="24">
        <f>ROUND(F28*AO28,2)</f>
        <v>0</v>
      </c>
      <c r="I28" s="24">
        <f>ROUND(F28*AP28,2)</f>
        <v>0</v>
      </c>
      <c r="J28" s="24">
        <f>ROUND(F28*G28,2)</f>
        <v>0</v>
      </c>
      <c r="K28" s="25" t="s">
        <v>56</v>
      </c>
      <c r="Z28" s="24">
        <f>ROUND(IF(AQ28="5",BJ28,0),2)</f>
        <v>0</v>
      </c>
      <c r="AB28" s="24">
        <f>ROUND(IF(AQ28="1",BH28,0),2)</f>
        <v>0</v>
      </c>
      <c r="AC28" s="24">
        <f>ROUND(IF(AQ28="1",BI28,0),2)</f>
        <v>0</v>
      </c>
      <c r="AD28" s="24">
        <f>ROUND(IF(AQ28="7",BH28,0),2)</f>
        <v>0</v>
      </c>
      <c r="AE28" s="24">
        <f>ROUND(IF(AQ28="7",BI28,0),2)</f>
        <v>0</v>
      </c>
      <c r="AF28" s="24">
        <f>ROUND(IF(AQ28="2",BH28,0),2)</f>
        <v>0</v>
      </c>
      <c r="AG28" s="24">
        <f>ROUND(IF(AQ28="2",BI28,0),2)</f>
        <v>0</v>
      </c>
      <c r="AH28" s="24">
        <f>ROUND(IF(AQ28="0",BJ28,0),2)</f>
        <v>0</v>
      </c>
      <c r="AI28" s="10" t="s">
        <v>49</v>
      </c>
      <c r="AJ28" s="24">
        <f>IF(AN28=0,J28,0)</f>
        <v>0</v>
      </c>
      <c r="AK28" s="24">
        <f>IF(AN28=12,J28,0)</f>
        <v>0</v>
      </c>
      <c r="AL28" s="24">
        <f>IF(AN28=21,J28,0)</f>
        <v>0</v>
      </c>
      <c r="AN28" s="24">
        <v>12</v>
      </c>
      <c r="AO28" s="24">
        <f>G28*0.20868905</f>
        <v>0</v>
      </c>
      <c r="AP28" s="24">
        <f>G28*(1-0.20868905)</f>
        <v>0</v>
      </c>
      <c r="AQ28" s="26" t="s">
        <v>74</v>
      </c>
      <c r="AV28" s="24">
        <f>ROUND(AW28+AX28,2)</f>
        <v>0</v>
      </c>
      <c r="AW28" s="24">
        <f>ROUND(F28*AO28,2)</f>
        <v>0</v>
      </c>
      <c r="AX28" s="24">
        <f>ROUND(F28*AP28,2)</f>
        <v>0</v>
      </c>
      <c r="AY28" s="26" t="s">
        <v>97</v>
      </c>
      <c r="AZ28" s="26" t="s">
        <v>98</v>
      </c>
      <c r="BA28" s="10" t="s">
        <v>59</v>
      </c>
      <c r="BC28" s="24">
        <f>AW28+AX28</f>
        <v>0</v>
      </c>
      <c r="BD28" s="24">
        <f>G28/(100-BE28)*100</f>
        <v>0</v>
      </c>
      <c r="BE28" s="24">
        <v>0</v>
      </c>
      <c r="BF28" s="24">
        <f>28</f>
        <v>28</v>
      </c>
      <c r="BH28" s="24">
        <f>F28*AO28</f>
        <v>0</v>
      </c>
      <c r="BI28" s="24">
        <f>F28*AP28</f>
        <v>0</v>
      </c>
      <c r="BJ28" s="24">
        <f>F28*G28</f>
        <v>0</v>
      </c>
      <c r="BK28" s="24"/>
      <c r="BL28" s="24">
        <v>721</v>
      </c>
      <c r="BW28" s="24">
        <v>12</v>
      </c>
      <c r="BX28" s="4" t="s">
        <v>95</v>
      </c>
    </row>
    <row r="29" spans="1:76" ht="14.4" x14ac:dyDescent="0.3">
      <c r="A29" s="2" t="s">
        <v>99</v>
      </c>
      <c r="B29" s="3" t="s">
        <v>100</v>
      </c>
      <c r="C29" s="89" t="s">
        <v>101</v>
      </c>
      <c r="D29" s="90"/>
      <c r="E29" s="3" t="s">
        <v>102</v>
      </c>
      <c r="F29" s="24">
        <v>12</v>
      </c>
      <c r="G29" s="24">
        <v>0</v>
      </c>
      <c r="H29" s="24">
        <f>ROUND(F29*AO29,2)</f>
        <v>0</v>
      </c>
      <c r="I29" s="24">
        <f>ROUND(F29*AP29,2)</f>
        <v>0</v>
      </c>
      <c r="J29" s="24">
        <f>ROUND(F29*G29,2)</f>
        <v>0</v>
      </c>
      <c r="K29" s="25" t="s">
        <v>56</v>
      </c>
      <c r="Z29" s="24">
        <f>ROUND(IF(AQ29="5",BJ29,0),2)</f>
        <v>0</v>
      </c>
      <c r="AB29" s="24">
        <f>ROUND(IF(AQ29="1",BH29,0),2)</f>
        <v>0</v>
      </c>
      <c r="AC29" s="24">
        <f>ROUND(IF(AQ29="1",BI29,0),2)</f>
        <v>0</v>
      </c>
      <c r="AD29" s="24">
        <f>ROUND(IF(AQ29="7",BH29,0),2)</f>
        <v>0</v>
      </c>
      <c r="AE29" s="24">
        <f>ROUND(IF(AQ29="7",BI29,0),2)</f>
        <v>0</v>
      </c>
      <c r="AF29" s="24">
        <f>ROUND(IF(AQ29="2",BH29,0),2)</f>
        <v>0</v>
      </c>
      <c r="AG29" s="24">
        <f>ROUND(IF(AQ29="2",BI29,0),2)</f>
        <v>0</v>
      </c>
      <c r="AH29" s="24">
        <f>ROUND(IF(AQ29="0",BJ29,0),2)</f>
        <v>0</v>
      </c>
      <c r="AI29" s="10" t="s">
        <v>49</v>
      </c>
      <c r="AJ29" s="24">
        <f>IF(AN29=0,J29,0)</f>
        <v>0</v>
      </c>
      <c r="AK29" s="24">
        <f>IF(AN29=12,J29,0)</f>
        <v>0</v>
      </c>
      <c r="AL29" s="24">
        <f>IF(AN29=21,J29,0)</f>
        <v>0</v>
      </c>
      <c r="AN29" s="24">
        <v>12</v>
      </c>
      <c r="AO29" s="24">
        <f>G29*0.372245658</f>
        <v>0</v>
      </c>
      <c r="AP29" s="24">
        <f>G29*(1-0.372245658)</f>
        <v>0</v>
      </c>
      <c r="AQ29" s="26" t="s">
        <v>74</v>
      </c>
      <c r="AV29" s="24">
        <f>ROUND(AW29+AX29,2)</f>
        <v>0</v>
      </c>
      <c r="AW29" s="24">
        <f>ROUND(F29*AO29,2)</f>
        <v>0</v>
      </c>
      <c r="AX29" s="24">
        <f>ROUND(F29*AP29,2)</f>
        <v>0</v>
      </c>
      <c r="AY29" s="26" t="s">
        <v>97</v>
      </c>
      <c r="AZ29" s="26" t="s">
        <v>98</v>
      </c>
      <c r="BA29" s="10" t="s">
        <v>59</v>
      </c>
      <c r="BC29" s="24">
        <f>AW29+AX29</f>
        <v>0</v>
      </c>
      <c r="BD29" s="24">
        <f>G29/(100-BE29)*100</f>
        <v>0</v>
      </c>
      <c r="BE29" s="24">
        <v>0</v>
      </c>
      <c r="BF29" s="24">
        <f>29</f>
        <v>29</v>
      </c>
      <c r="BH29" s="24">
        <f>F29*AO29</f>
        <v>0</v>
      </c>
      <c r="BI29" s="24">
        <f>F29*AP29</f>
        <v>0</v>
      </c>
      <c r="BJ29" s="24">
        <f>F29*G29</f>
        <v>0</v>
      </c>
      <c r="BK29" s="24"/>
      <c r="BL29" s="24">
        <v>721</v>
      </c>
      <c r="BW29" s="24">
        <v>12</v>
      </c>
      <c r="BX29" s="4" t="s">
        <v>101</v>
      </c>
    </row>
    <row r="30" spans="1:76" ht="14.4" x14ac:dyDescent="0.3">
      <c r="A30" s="2" t="s">
        <v>103</v>
      </c>
      <c r="B30" s="3" t="s">
        <v>104</v>
      </c>
      <c r="C30" s="89" t="s">
        <v>105</v>
      </c>
      <c r="D30" s="90"/>
      <c r="E30" s="3" t="s">
        <v>96</v>
      </c>
      <c r="F30" s="24">
        <v>5</v>
      </c>
      <c r="G30" s="24">
        <v>0</v>
      </c>
      <c r="H30" s="24">
        <f>ROUND(F30*AO30,2)</f>
        <v>0</v>
      </c>
      <c r="I30" s="24">
        <f>ROUND(F30*AP30,2)</f>
        <v>0</v>
      </c>
      <c r="J30" s="24">
        <f>ROUND(F30*G30,2)</f>
        <v>0</v>
      </c>
      <c r="K30" s="25" t="s">
        <v>56</v>
      </c>
      <c r="Z30" s="24">
        <f>ROUND(IF(AQ30="5",BJ30,0),2)</f>
        <v>0</v>
      </c>
      <c r="AB30" s="24">
        <f>ROUND(IF(AQ30="1",BH30,0),2)</f>
        <v>0</v>
      </c>
      <c r="AC30" s="24">
        <f>ROUND(IF(AQ30="1",BI30,0),2)</f>
        <v>0</v>
      </c>
      <c r="AD30" s="24">
        <f>ROUND(IF(AQ30="7",BH30,0),2)</f>
        <v>0</v>
      </c>
      <c r="AE30" s="24">
        <f>ROUND(IF(AQ30="7",BI30,0),2)</f>
        <v>0</v>
      </c>
      <c r="AF30" s="24">
        <f>ROUND(IF(AQ30="2",BH30,0),2)</f>
        <v>0</v>
      </c>
      <c r="AG30" s="24">
        <f>ROUND(IF(AQ30="2",BI30,0),2)</f>
        <v>0</v>
      </c>
      <c r="AH30" s="24">
        <f>ROUND(IF(AQ30="0",BJ30,0),2)</f>
        <v>0</v>
      </c>
      <c r="AI30" s="10" t="s">
        <v>49</v>
      </c>
      <c r="AJ30" s="24">
        <f>IF(AN30=0,J30,0)</f>
        <v>0</v>
      </c>
      <c r="AK30" s="24">
        <f>IF(AN30=12,J30,0)</f>
        <v>0</v>
      </c>
      <c r="AL30" s="24">
        <f>IF(AN30=21,J30,0)</f>
        <v>0</v>
      </c>
      <c r="AN30" s="24">
        <v>12</v>
      </c>
      <c r="AO30" s="24">
        <f>G30*0.50367487</f>
        <v>0</v>
      </c>
      <c r="AP30" s="24">
        <f>G30*(1-0.50367487)</f>
        <v>0</v>
      </c>
      <c r="AQ30" s="26" t="s">
        <v>74</v>
      </c>
      <c r="AV30" s="24">
        <f>ROUND(AW30+AX30,2)</f>
        <v>0</v>
      </c>
      <c r="AW30" s="24">
        <f>ROUND(F30*AO30,2)</f>
        <v>0</v>
      </c>
      <c r="AX30" s="24">
        <f>ROUND(F30*AP30,2)</f>
        <v>0</v>
      </c>
      <c r="AY30" s="26" t="s">
        <v>97</v>
      </c>
      <c r="AZ30" s="26" t="s">
        <v>98</v>
      </c>
      <c r="BA30" s="10" t="s">
        <v>59</v>
      </c>
      <c r="BC30" s="24">
        <f>AW30+AX30</f>
        <v>0</v>
      </c>
      <c r="BD30" s="24">
        <f>G30/(100-BE30)*100</f>
        <v>0</v>
      </c>
      <c r="BE30" s="24">
        <v>0</v>
      </c>
      <c r="BF30" s="24">
        <f>30</f>
        <v>30</v>
      </c>
      <c r="BH30" s="24">
        <f>F30*AO30</f>
        <v>0</v>
      </c>
      <c r="BI30" s="24">
        <f>F30*AP30</f>
        <v>0</v>
      </c>
      <c r="BJ30" s="24">
        <f>F30*G30</f>
        <v>0</v>
      </c>
      <c r="BK30" s="24"/>
      <c r="BL30" s="24">
        <v>721</v>
      </c>
      <c r="BW30" s="24">
        <v>12</v>
      </c>
      <c r="BX30" s="4" t="s">
        <v>105</v>
      </c>
    </row>
    <row r="31" spans="1:76" ht="14.4" x14ac:dyDescent="0.3">
      <c r="A31" s="2" t="s">
        <v>106</v>
      </c>
      <c r="B31" s="3" t="s">
        <v>107</v>
      </c>
      <c r="C31" s="89" t="s">
        <v>108</v>
      </c>
      <c r="D31" s="90"/>
      <c r="E31" s="3" t="s">
        <v>96</v>
      </c>
      <c r="F31" s="24">
        <v>5</v>
      </c>
      <c r="G31" s="24">
        <v>0</v>
      </c>
      <c r="H31" s="24">
        <f>ROUND(F31*AO31,2)</f>
        <v>0</v>
      </c>
      <c r="I31" s="24">
        <f>ROUND(F31*AP31,2)</f>
        <v>0</v>
      </c>
      <c r="J31" s="24">
        <f>ROUND(F31*G31,2)</f>
        <v>0</v>
      </c>
      <c r="K31" s="25" t="s">
        <v>56</v>
      </c>
      <c r="Z31" s="24">
        <f>ROUND(IF(AQ31="5",BJ31,0),2)</f>
        <v>0</v>
      </c>
      <c r="AB31" s="24">
        <f>ROUND(IF(AQ31="1",BH31,0),2)</f>
        <v>0</v>
      </c>
      <c r="AC31" s="24">
        <f>ROUND(IF(AQ31="1",BI31,0),2)</f>
        <v>0</v>
      </c>
      <c r="AD31" s="24">
        <f>ROUND(IF(AQ31="7",BH31,0),2)</f>
        <v>0</v>
      </c>
      <c r="AE31" s="24">
        <f>ROUND(IF(AQ31="7",BI31,0),2)</f>
        <v>0</v>
      </c>
      <c r="AF31" s="24">
        <f>ROUND(IF(AQ31="2",BH31,0),2)</f>
        <v>0</v>
      </c>
      <c r="AG31" s="24">
        <f>ROUND(IF(AQ31="2",BI31,0),2)</f>
        <v>0</v>
      </c>
      <c r="AH31" s="24">
        <f>ROUND(IF(AQ31="0",BJ31,0),2)</f>
        <v>0</v>
      </c>
      <c r="AI31" s="10" t="s">
        <v>49</v>
      </c>
      <c r="AJ31" s="24">
        <f>IF(AN31=0,J31,0)</f>
        <v>0</v>
      </c>
      <c r="AK31" s="24">
        <f>IF(AN31=12,J31,0)</f>
        <v>0</v>
      </c>
      <c r="AL31" s="24">
        <f>IF(AN31=21,J31,0)</f>
        <v>0</v>
      </c>
      <c r="AN31" s="24">
        <v>12</v>
      </c>
      <c r="AO31" s="24">
        <f>G31*0.809615026</f>
        <v>0</v>
      </c>
      <c r="AP31" s="24">
        <f>G31*(1-0.809615026)</f>
        <v>0</v>
      </c>
      <c r="AQ31" s="26" t="s">
        <v>74</v>
      </c>
      <c r="AV31" s="24">
        <f>ROUND(AW31+AX31,2)</f>
        <v>0</v>
      </c>
      <c r="AW31" s="24">
        <f>ROUND(F31*AO31,2)</f>
        <v>0</v>
      </c>
      <c r="AX31" s="24">
        <f>ROUND(F31*AP31,2)</f>
        <v>0</v>
      </c>
      <c r="AY31" s="26" t="s">
        <v>97</v>
      </c>
      <c r="AZ31" s="26" t="s">
        <v>98</v>
      </c>
      <c r="BA31" s="10" t="s">
        <v>59</v>
      </c>
      <c r="BC31" s="24">
        <f>AW31+AX31</f>
        <v>0</v>
      </c>
      <c r="BD31" s="24">
        <f>G31/(100-BE31)*100</f>
        <v>0</v>
      </c>
      <c r="BE31" s="24">
        <v>0</v>
      </c>
      <c r="BF31" s="24">
        <f>31</f>
        <v>31</v>
      </c>
      <c r="BH31" s="24">
        <f>F31*AO31</f>
        <v>0</v>
      </c>
      <c r="BI31" s="24">
        <f>F31*AP31</f>
        <v>0</v>
      </c>
      <c r="BJ31" s="24">
        <f>F31*G31</f>
        <v>0</v>
      </c>
      <c r="BK31" s="24"/>
      <c r="BL31" s="24">
        <v>721</v>
      </c>
      <c r="BW31" s="24">
        <v>12</v>
      </c>
      <c r="BX31" s="4" t="s">
        <v>108</v>
      </c>
    </row>
    <row r="32" spans="1:76" ht="13.5" customHeight="1" x14ac:dyDescent="0.3">
      <c r="A32" s="27"/>
      <c r="B32" s="28" t="s">
        <v>86</v>
      </c>
      <c r="C32" s="95" t="s">
        <v>109</v>
      </c>
      <c r="D32" s="96"/>
      <c r="E32" s="96"/>
      <c r="F32" s="96"/>
      <c r="G32" s="96"/>
      <c r="H32" s="96"/>
      <c r="I32" s="96"/>
      <c r="J32" s="96"/>
      <c r="K32" s="97"/>
    </row>
    <row r="33" spans="1:76" ht="14.4" x14ac:dyDescent="0.3">
      <c r="A33" s="30" t="s">
        <v>49</v>
      </c>
      <c r="B33" s="31" t="s">
        <v>110</v>
      </c>
      <c r="C33" s="91" t="s">
        <v>111</v>
      </c>
      <c r="D33" s="92"/>
      <c r="E33" s="32" t="s">
        <v>4</v>
      </c>
      <c r="F33" s="32" t="s">
        <v>4</v>
      </c>
      <c r="G33" s="32" t="s">
        <v>4</v>
      </c>
      <c r="H33" s="1">
        <f>SUM(H34:H79)</f>
        <v>0</v>
      </c>
      <c r="I33" s="1">
        <f>SUM(I34:I79)</f>
        <v>0</v>
      </c>
      <c r="J33" s="1">
        <f>SUM(J34:J79)</f>
        <v>0</v>
      </c>
      <c r="K33" s="33" t="s">
        <v>49</v>
      </c>
      <c r="AI33" s="10" t="s">
        <v>49</v>
      </c>
      <c r="AS33" s="1">
        <f>SUM(AJ34:AJ79)</f>
        <v>0</v>
      </c>
      <c r="AT33" s="1">
        <f>SUM(AK34:AK79)</f>
        <v>0</v>
      </c>
      <c r="AU33" s="1">
        <f>SUM(AL34:AL79)</f>
        <v>0</v>
      </c>
    </row>
    <row r="34" spans="1:76" ht="14.4" x14ac:dyDescent="0.3">
      <c r="A34" s="2" t="s">
        <v>112</v>
      </c>
      <c r="B34" s="3" t="s">
        <v>113</v>
      </c>
      <c r="C34" s="89" t="s">
        <v>114</v>
      </c>
      <c r="D34" s="90"/>
      <c r="E34" s="3" t="s">
        <v>55</v>
      </c>
      <c r="F34" s="24">
        <v>720</v>
      </c>
      <c r="G34" s="24">
        <v>0</v>
      </c>
      <c r="H34" s="24">
        <f>ROUND(F34*AO34,2)</f>
        <v>0</v>
      </c>
      <c r="I34" s="24">
        <f>ROUND(F34*AP34,2)</f>
        <v>0</v>
      </c>
      <c r="J34" s="24">
        <f>ROUND(F34*G34,2)</f>
        <v>0</v>
      </c>
      <c r="K34" s="25" t="s">
        <v>56</v>
      </c>
      <c r="Z34" s="24">
        <f>ROUND(IF(AQ34="5",BJ34,0),2)</f>
        <v>0</v>
      </c>
      <c r="AB34" s="24">
        <f>ROUND(IF(AQ34="1",BH34,0),2)</f>
        <v>0</v>
      </c>
      <c r="AC34" s="24">
        <f>ROUND(IF(AQ34="1",BI34,0),2)</f>
        <v>0</v>
      </c>
      <c r="AD34" s="24">
        <f>ROUND(IF(AQ34="7",BH34,0),2)</f>
        <v>0</v>
      </c>
      <c r="AE34" s="24">
        <f>ROUND(IF(AQ34="7",BI34,0),2)</f>
        <v>0</v>
      </c>
      <c r="AF34" s="24">
        <f>ROUND(IF(AQ34="2",BH34,0),2)</f>
        <v>0</v>
      </c>
      <c r="AG34" s="24">
        <f>ROUND(IF(AQ34="2",BI34,0),2)</f>
        <v>0</v>
      </c>
      <c r="AH34" s="24">
        <f>ROUND(IF(AQ34="0",BJ34,0),2)</f>
        <v>0</v>
      </c>
      <c r="AI34" s="10" t="s">
        <v>49</v>
      </c>
      <c r="AJ34" s="24">
        <f>IF(AN34=0,J34,0)</f>
        <v>0</v>
      </c>
      <c r="AK34" s="24">
        <f>IF(AN34=12,J34,0)</f>
        <v>0</v>
      </c>
      <c r="AL34" s="24">
        <f>IF(AN34=21,J34,0)</f>
        <v>0</v>
      </c>
      <c r="AN34" s="24">
        <v>12</v>
      </c>
      <c r="AO34" s="24">
        <f>G34*0</f>
        <v>0</v>
      </c>
      <c r="AP34" s="24">
        <f>G34*(1-0)</f>
        <v>0</v>
      </c>
      <c r="AQ34" s="26" t="s">
        <v>74</v>
      </c>
      <c r="AV34" s="24">
        <f>ROUND(AW34+AX34,2)</f>
        <v>0</v>
      </c>
      <c r="AW34" s="24">
        <f>ROUND(F34*AO34,2)</f>
        <v>0</v>
      </c>
      <c r="AX34" s="24">
        <f>ROUND(F34*AP34,2)</f>
        <v>0</v>
      </c>
      <c r="AY34" s="26" t="s">
        <v>115</v>
      </c>
      <c r="AZ34" s="26" t="s">
        <v>116</v>
      </c>
      <c r="BA34" s="10" t="s">
        <v>59</v>
      </c>
      <c r="BC34" s="24">
        <f>AW34+AX34</f>
        <v>0</v>
      </c>
      <c r="BD34" s="24">
        <f>G34/(100-BE34)*100</f>
        <v>0</v>
      </c>
      <c r="BE34" s="24">
        <v>0</v>
      </c>
      <c r="BF34" s="24">
        <f>34</f>
        <v>34</v>
      </c>
      <c r="BH34" s="24">
        <f>F34*AO34</f>
        <v>0</v>
      </c>
      <c r="BI34" s="24">
        <f>F34*AP34</f>
        <v>0</v>
      </c>
      <c r="BJ34" s="24">
        <f>F34*G34</f>
        <v>0</v>
      </c>
      <c r="BK34" s="24"/>
      <c r="BL34" s="24">
        <v>762</v>
      </c>
      <c r="BW34" s="24">
        <v>12</v>
      </c>
      <c r="BX34" s="4" t="s">
        <v>114</v>
      </c>
    </row>
    <row r="35" spans="1:76" ht="26.4" x14ac:dyDescent="0.3">
      <c r="A35" s="27"/>
      <c r="B35" s="28" t="s">
        <v>63</v>
      </c>
      <c r="C35" s="95" t="s">
        <v>117</v>
      </c>
      <c r="D35" s="96"/>
      <c r="E35" s="96"/>
      <c r="F35" s="96"/>
      <c r="G35" s="96"/>
      <c r="H35" s="96"/>
      <c r="I35" s="96"/>
      <c r="J35" s="96"/>
      <c r="K35" s="97"/>
      <c r="BX35" s="29" t="s">
        <v>117</v>
      </c>
    </row>
    <row r="36" spans="1:76" ht="14.4" x14ac:dyDescent="0.3">
      <c r="A36" s="2" t="s">
        <v>118</v>
      </c>
      <c r="B36" s="3" t="s">
        <v>119</v>
      </c>
      <c r="C36" s="89" t="s">
        <v>120</v>
      </c>
      <c r="D36" s="90"/>
      <c r="E36" s="3" t="s">
        <v>96</v>
      </c>
      <c r="F36" s="24">
        <v>8</v>
      </c>
      <c r="G36" s="24">
        <v>0</v>
      </c>
      <c r="H36" s="24">
        <f>ROUND(F36*AO36,2)</f>
        <v>0</v>
      </c>
      <c r="I36" s="24">
        <f>ROUND(F36*AP36,2)</f>
        <v>0</v>
      </c>
      <c r="J36" s="24">
        <f>ROUND(F36*G36,2)</f>
        <v>0</v>
      </c>
      <c r="K36" s="25" t="s">
        <v>56</v>
      </c>
      <c r="Z36" s="24">
        <f>ROUND(IF(AQ36="5",BJ36,0),2)</f>
        <v>0</v>
      </c>
      <c r="AB36" s="24">
        <f>ROUND(IF(AQ36="1",BH36,0),2)</f>
        <v>0</v>
      </c>
      <c r="AC36" s="24">
        <f>ROUND(IF(AQ36="1",BI36,0),2)</f>
        <v>0</v>
      </c>
      <c r="AD36" s="24">
        <f>ROUND(IF(AQ36="7",BH36,0),2)</f>
        <v>0</v>
      </c>
      <c r="AE36" s="24">
        <f>ROUND(IF(AQ36="7",BI36,0),2)</f>
        <v>0</v>
      </c>
      <c r="AF36" s="24">
        <f>ROUND(IF(AQ36="2",BH36,0),2)</f>
        <v>0</v>
      </c>
      <c r="AG36" s="24">
        <f>ROUND(IF(AQ36="2",BI36,0),2)</f>
        <v>0</v>
      </c>
      <c r="AH36" s="24">
        <f>ROUND(IF(AQ36="0",BJ36,0),2)</f>
        <v>0</v>
      </c>
      <c r="AI36" s="10" t="s">
        <v>49</v>
      </c>
      <c r="AJ36" s="24">
        <f>IF(AN36=0,J36,0)</f>
        <v>0</v>
      </c>
      <c r="AK36" s="24">
        <f>IF(AN36=12,J36,0)</f>
        <v>0</v>
      </c>
      <c r="AL36" s="24">
        <f>IF(AN36=21,J36,0)</f>
        <v>0</v>
      </c>
      <c r="AN36" s="24">
        <v>12</v>
      </c>
      <c r="AO36" s="24">
        <f>G36*0.113977403</f>
        <v>0</v>
      </c>
      <c r="AP36" s="24">
        <f>G36*(1-0.113977403)</f>
        <v>0</v>
      </c>
      <c r="AQ36" s="26" t="s">
        <v>74</v>
      </c>
      <c r="AV36" s="24">
        <f>ROUND(AW36+AX36,2)</f>
        <v>0</v>
      </c>
      <c r="AW36" s="24">
        <f>ROUND(F36*AO36,2)</f>
        <v>0</v>
      </c>
      <c r="AX36" s="24">
        <f>ROUND(F36*AP36,2)</f>
        <v>0</v>
      </c>
      <c r="AY36" s="26" t="s">
        <v>115</v>
      </c>
      <c r="AZ36" s="26" t="s">
        <v>116</v>
      </c>
      <c r="BA36" s="10" t="s">
        <v>59</v>
      </c>
      <c r="BC36" s="24">
        <f>AW36+AX36</f>
        <v>0</v>
      </c>
      <c r="BD36" s="24">
        <f>G36/(100-BE36)*100</f>
        <v>0</v>
      </c>
      <c r="BE36" s="24">
        <v>0</v>
      </c>
      <c r="BF36" s="24">
        <f>36</f>
        <v>36</v>
      </c>
      <c r="BH36" s="24">
        <f>F36*AO36</f>
        <v>0</v>
      </c>
      <c r="BI36" s="24">
        <f>F36*AP36</f>
        <v>0</v>
      </c>
      <c r="BJ36" s="24">
        <f>F36*G36</f>
        <v>0</v>
      </c>
      <c r="BK36" s="24"/>
      <c r="BL36" s="24">
        <v>762</v>
      </c>
      <c r="BW36" s="24">
        <v>12</v>
      </c>
      <c r="BX36" s="4" t="s">
        <v>120</v>
      </c>
    </row>
    <row r="37" spans="1:76" ht="14.4" x14ac:dyDescent="0.3">
      <c r="A37" s="2" t="s">
        <v>121</v>
      </c>
      <c r="B37" s="3" t="s">
        <v>122</v>
      </c>
      <c r="C37" s="89" t="s">
        <v>123</v>
      </c>
      <c r="D37" s="90"/>
      <c r="E37" s="3" t="s">
        <v>55</v>
      </c>
      <c r="F37" s="24">
        <v>28</v>
      </c>
      <c r="G37" s="24">
        <v>0</v>
      </c>
      <c r="H37" s="24">
        <f>ROUND(F37*AO37,2)</f>
        <v>0</v>
      </c>
      <c r="I37" s="24">
        <f>ROUND(F37*AP37,2)</f>
        <v>0</v>
      </c>
      <c r="J37" s="24">
        <f>ROUND(F37*G37,2)</f>
        <v>0</v>
      </c>
      <c r="K37" s="25" t="s">
        <v>56</v>
      </c>
      <c r="Z37" s="24">
        <f>ROUND(IF(AQ37="5",BJ37,0),2)</f>
        <v>0</v>
      </c>
      <c r="AB37" s="24">
        <f>ROUND(IF(AQ37="1",BH37,0),2)</f>
        <v>0</v>
      </c>
      <c r="AC37" s="24">
        <f>ROUND(IF(AQ37="1",BI37,0),2)</f>
        <v>0</v>
      </c>
      <c r="AD37" s="24">
        <f>ROUND(IF(AQ37="7",BH37,0),2)</f>
        <v>0</v>
      </c>
      <c r="AE37" s="24">
        <f>ROUND(IF(AQ37="7",BI37,0),2)</f>
        <v>0</v>
      </c>
      <c r="AF37" s="24">
        <f>ROUND(IF(AQ37="2",BH37,0),2)</f>
        <v>0</v>
      </c>
      <c r="AG37" s="24">
        <f>ROUND(IF(AQ37="2",BI37,0),2)</f>
        <v>0</v>
      </c>
      <c r="AH37" s="24">
        <f>ROUND(IF(AQ37="0",BJ37,0),2)</f>
        <v>0</v>
      </c>
      <c r="AI37" s="10" t="s">
        <v>49</v>
      </c>
      <c r="AJ37" s="24">
        <f>IF(AN37=0,J37,0)</f>
        <v>0</v>
      </c>
      <c r="AK37" s="24">
        <f>IF(AN37=12,J37,0)</f>
        <v>0</v>
      </c>
      <c r="AL37" s="24">
        <f>IF(AN37=21,J37,0)</f>
        <v>0</v>
      </c>
      <c r="AN37" s="24">
        <v>12</v>
      </c>
      <c r="AO37" s="24">
        <f>G37*0.593017456</f>
        <v>0</v>
      </c>
      <c r="AP37" s="24">
        <f>G37*(1-0.593017456)</f>
        <v>0</v>
      </c>
      <c r="AQ37" s="26" t="s">
        <v>74</v>
      </c>
      <c r="AV37" s="24">
        <f>ROUND(AW37+AX37,2)</f>
        <v>0</v>
      </c>
      <c r="AW37" s="24">
        <f>ROUND(F37*AO37,2)</f>
        <v>0</v>
      </c>
      <c r="AX37" s="24">
        <f>ROUND(F37*AP37,2)</f>
        <v>0</v>
      </c>
      <c r="AY37" s="26" t="s">
        <v>115</v>
      </c>
      <c r="AZ37" s="26" t="s">
        <v>116</v>
      </c>
      <c r="BA37" s="10" t="s">
        <v>59</v>
      </c>
      <c r="BC37" s="24">
        <f>AW37+AX37</f>
        <v>0</v>
      </c>
      <c r="BD37" s="24">
        <f>G37/(100-BE37)*100</f>
        <v>0</v>
      </c>
      <c r="BE37" s="24">
        <v>0</v>
      </c>
      <c r="BF37" s="24">
        <f>37</f>
        <v>37</v>
      </c>
      <c r="BH37" s="24">
        <f>F37*AO37</f>
        <v>0</v>
      </c>
      <c r="BI37" s="24">
        <f>F37*AP37</f>
        <v>0</v>
      </c>
      <c r="BJ37" s="24">
        <f>F37*G37</f>
        <v>0</v>
      </c>
      <c r="BK37" s="24"/>
      <c r="BL37" s="24">
        <v>762</v>
      </c>
      <c r="BW37" s="24">
        <v>12</v>
      </c>
      <c r="BX37" s="4" t="s">
        <v>123</v>
      </c>
    </row>
    <row r="38" spans="1:76" ht="13.5" customHeight="1" x14ac:dyDescent="0.3">
      <c r="A38" s="27"/>
      <c r="B38" s="28" t="s">
        <v>86</v>
      </c>
      <c r="C38" s="95" t="s">
        <v>124</v>
      </c>
      <c r="D38" s="96"/>
      <c r="E38" s="96"/>
      <c r="F38" s="96"/>
      <c r="G38" s="96"/>
      <c r="H38" s="96"/>
      <c r="I38" s="96"/>
      <c r="J38" s="96"/>
      <c r="K38" s="97"/>
    </row>
    <row r="39" spans="1:76" ht="14.4" x14ac:dyDescent="0.3">
      <c r="A39" s="2" t="s">
        <v>125</v>
      </c>
      <c r="B39" s="3" t="s">
        <v>126</v>
      </c>
      <c r="C39" s="89" t="s">
        <v>127</v>
      </c>
      <c r="D39" s="90"/>
      <c r="E39" s="3" t="s">
        <v>96</v>
      </c>
      <c r="F39" s="24">
        <v>20</v>
      </c>
      <c r="G39" s="24">
        <v>0</v>
      </c>
      <c r="H39" s="24">
        <f>ROUND(F39*AO39,2)</f>
        <v>0</v>
      </c>
      <c r="I39" s="24">
        <f>ROUND(F39*AP39,2)</f>
        <v>0</v>
      </c>
      <c r="J39" s="24">
        <f>ROUND(F39*G39,2)</f>
        <v>0</v>
      </c>
      <c r="K39" s="25" t="s">
        <v>56</v>
      </c>
      <c r="Z39" s="24">
        <f>ROUND(IF(AQ39="5",BJ39,0),2)</f>
        <v>0</v>
      </c>
      <c r="AB39" s="24">
        <f>ROUND(IF(AQ39="1",BH39,0),2)</f>
        <v>0</v>
      </c>
      <c r="AC39" s="24">
        <f>ROUND(IF(AQ39="1",BI39,0),2)</f>
        <v>0</v>
      </c>
      <c r="AD39" s="24">
        <f>ROUND(IF(AQ39="7",BH39,0),2)</f>
        <v>0</v>
      </c>
      <c r="AE39" s="24">
        <f>ROUND(IF(AQ39="7",BI39,0),2)</f>
        <v>0</v>
      </c>
      <c r="AF39" s="24">
        <f>ROUND(IF(AQ39="2",BH39,0),2)</f>
        <v>0</v>
      </c>
      <c r="AG39" s="24">
        <f>ROUND(IF(AQ39="2",BI39,0),2)</f>
        <v>0</v>
      </c>
      <c r="AH39" s="24">
        <f>ROUND(IF(AQ39="0",BJ39,0),2)</f>
        <v>0</v>
      </c>
      <c r="AI39" s="10" t="s">
        <v>49</v>
      </c>
      <c r="AJ39" s="24">
        <f>IF(AN39=0,J39,0)</f>
        <v>0</v>
      </c>
      <c r="AK39" s="24">
        <f>IF(AN39=12,J39,0)</f>
        <v>0</v>
      </c>
      <c r="AL39" s="24">
        <f>IF(AN39=21,J39,0)</f>
        <v>0</v>
      </c>
      <c r="AN39" s="24">
        <v>12</v>
      </c>
      <c r="AO39" s="24">
        <f>G39*0</f>
        <v>0</v>
      </c>
      <c r="AP39" s="24">
        <f>G39*(1-0)</f>
        <v>0</v>
      </c>
      <c r="AQ39" s="26" t="s">
        <v>74</v>
      </c>
      <c r="AV39" s="24">
        <f>ROUND(AW39+AX39,2)</f>
        <v>0</v>
      </c>
      <c r="AW39" s="24">
        <f>ROUND(F39*AO39,2)</f>
        <v>0</v>
      </c>
      <c r="AX39" s="24">
        <f>ROUND(F39*AP39,2)</f>
        <v>0</v>
      </c>
      <c r="AY39" s="26" t="s">
        <v>115</v>
      </c>
      <c r="AZ39" s="26" t="s">
        <v>116</v>
      </c>
      <c r="BA39" s="10" t="s">
        <v>59</v>
      </c>
      <c r="BC39" s="24">
        <f>AW39+AX39</f>
        <v>0</v>
      </c>
      <c r="BD39" s="24">
        <f>G39/(100-BE39)*100</f>
        <v>0</v>
      </c>
      <c r="BE39" s="24">
        <v>0</v>
      </c>
      <c r="BF39" s="24">
        <f>39</f>
        <v>39</v>
      </c>
      <c r="BH39" s="24">
        <f>F39*AO39</f>
        <v>0</v>
      </c>
      <c r="BI39" s="24">
        <f>F39*AP39</f>
        <v>0</v>
      </c>
      <c r="BJ39" s="24">
        <f>F39*G39</f>
        <v>0</v>
      </c>
      <c r="BK39" s="24"/>
      <c r="BL39" s="24">
        <v>762</v>
      </c>
      <c r="BW39" s="24">
        <v>12</v>
      </c>
      <c r="BX39" s="4" t="s">
        <v>127</v>
      </c>
    </row>
    <row r="40" spans="1:76" ht="39.6" x14ac:dyDescent="0.3">
      <c r="A40" s="27"/>
      <c r="B40" s="28" t="s">
        <v>63</v>
      </c>
      <c r="C40" s="95" t="s">
        <v>739</v>
      </c>
      <c r="D40" s="96"/>
      <c r="E40" s="96"/>
      <c r="F40" s="96"/>
      <c r="G40" s="96"/>
      <c r="H40" s="96"/>
      <c r="I40" s="96"/>
      <c r="J40" s="96"/>
      <c r="K40" s="97"/>
      <c r="BX40" s="29" t="s">
        <v>128</v>
      </c>
    </row>
    <row r="41" spans="1:76" ht="14.4" x14ac:dyDescent="0.3">
      <c r="A41" s="2" t="s">
        <v>129</v>
      </c>
      <c r="B41" s="3" t="s">
        <v>130</v>
      </c>
      <c r="C41" s="89" t="s">
        <v>131</v>
      </c>
      <c r="D41" s="90"/>
      <c r="E41" s="3" t="s">
        <v>102</v>
      </c>
      <c r="F41" s="24">
        <v>29</v>
      </c>
      <c r="G41" s="24">
        <v>0</v>
      </c>
      <c r="H41" s="24">
        <f>ROUND(F41*AO41,2)</f>
        <v>0</v>
      </c>
      <c r="I41" s="24">
        <f>ROUND(F41*AP41,2)</f>
        <v>0</v>
      </c>
      <c r="J41" s="24">
        <f>ROUND(F41*G41,2)</f>
        <v>0</v>
      </c>
      <c r="K41" s="25" t="s">
        <v>56</v>
      </c>
      <c r="Z41" s="24">
        <f>ROUND(IF(AQ41="5",BJ41,0),2)</f>
        <v>0</v>
      </c>
      <c r="AB41" s="24">
        <f>ROUND(IF(AQ41="1",BH41,0),2)</f>
        <v>0</v>
      </c>
      <c r="AC41" s="24">
        <f>ROUND(IF(AQ41="1",BI41,0),2)</f>
        <v>0</v>
      </c>
      <c r="AD41" s="24">
        <f>ROUND(IF(AQ41="7",BH41,0),2)</f>
        <v>0</v>
      </c>
      <c r="AE41" s="24">
        <f>ROUND(IF(AQ41="7",BI41,0),2)</f>
        <v>0</v>
      </c>
      <c r="AF41" s="24">
        <f>ROUND(IF(AQ41="2",BH41,0),2)</f>
        <v>0</v>
      </c>
      <c r="AG41" s="24">
        <f>ROUND(IF(AQ41="2",BI41,0),2)</f>
        <v>0</v>
      </c>
      <c r="AH41" s="24">
        <f>ROUND(IF(AQ41="0",BJ41,0),2)</f>
        <v>0</v>
      </c>
      <c r="AI41" s="10" t="s">
        <v>49</v>
      </c>
      <c r="AJ41" s="24">
        <f>IF(AN41=0,J41,0)</f>
        <v>0</v>
      </c>
      <c r="AK41" s="24">
        <f>IF(AN41=12,J41,0)</f>
        <v>0</v>
      </c>
      <c r="AL41" s="24">
        <f>IF(AN41=21,J41,0)</f>
        <v>0</v>
      </c>
      <c r="AN41" s="24">
        <v>12</v>
      </c>
      <c r="AO41" s="24">
        <f>G41*0.418531646</f>
        <v>0</v>
      </c>
      <c r="AP41" s="24">
        <f>G41*(1-0.418531646)</f>
        <v>0</v>
      </c>
      <c r="AQ41" s="26" t="s">
        <v>74</v>
      </c>
      <c r="AV41" s="24">
        <f>ROUND(AW41+AX41,2)</f>
        <v>0</v>
      </c>
      <c r="AW41" s="24">
        <f>ROUND(F41*AO41,2)</f>
        <v>0</v>
      </c>
      <c r="AX41" s="24">
        <f>ROUND(F41*AP41,2)</f>
        <v>0</v>
      </c>
      <c r="AY41" s="26" t="s">
        <v>115</v>
      </c>
      <c r="AZ41" s="26" t="s">
        <v>116</v>
      </c>
      <c r="BA41" s="10" t="s">
        <v>59</v>
      </c>
      <c r="BC41" s="24">
        <f>AW41+AX41</f>
        <v>0</v>
      </c>
      <c r="BD41" s="24">
        <f>G41/(100-BE41)*100</f>
        <v>0</v>
      </c>
      <c r="BE41" s="24">
        <v>0</v>
      </c>
      <c r="BF41" s="24">
        <f>41</f>
        <v>41</v>
      </c>
      <c r="BH41" s="24">
        <f>F41*AO41</f>
        <v>0</v>
      </c>
      <c r="BI41" s="24">
        <f>F41*AP41</f>
        <v>0</v>
      </c>
      <c r="BJ41" s="24">
        <f>F41*G41</f>
        <v>0</v>
      </c>
      <c r="BK41" s="24"/>
      <c r="BL41" s="24">
        <v>762</v>
      </c>
      <c r="BW41" s="24">
        <v>12</v>
      </c>
      <c r="BX41" s="4" t="s">
        <v>131</v>
      </c>
    </row>
    <row r="42" spans="1:76" ht="13.5" customHeight="1" x14ac:dyDescent="0.3">
      <c r="A42" s="27"/>
      <c r="B42" s="28" t="s">
        <v>86</v>
      </c>
      <c r="C42" s="95" t="s">
        <v>132</v>
      </c>
      <c r="D42" s="96"/>
      <c r="E42" s="96"/>
      <c r="F42" s="96"/>
      <c r="G42" s="96"/>
      <c r="H42" s="96"/>
      <c r="I42" s="96"/>
      <c r="J42" s="96"/>
      <c r="K42" s="97"/>
    </row>
    <row r="43" spans="1:76" ht="14.4" x14ac:dyDescent="0.3">
      <c r="A43" s="2" t="s">
        <v>133</v>
      </c>
      <c r="B43" s="3" t="s">
        <v>130</v>
      </c>
      <c r="C43" s="89" t="s">
        <v>134</v>
      </c>
      <c r="D43" s="90"/>
      <c r="E43" s="3" t="s">
        <v>102</v>
      </c>
      <c r="F43" s="24">
        <v>9</v>
      </c>
      <c r="G43" s="24">
        <v>0</v>
      </c>
      <c r="H43" s="24">
        <f>ROUND(F43*AO43,2)</f>
        <v>0</v>
      </c>
      <c r="I43" s="24">
        <f>ROUND(F43*AP43,2)</f>
        <v>0</v>
      </c>
      <c r="J43" s="24">
        <f>ROUND(F43*G43,2)</f>
        <v>0</v>
      </c>
      <c r="K43" s="25" t="s">
        <v>56</v>
      </c>
      <c r="Z43" s="24">
        <f>ROUND(IF(AQ43="5",BJ43,0),2)</f>
        <v>0</v>
      </c>
      <c r="AB43" s="24">
        <f>ROUND(IF(AQ43="1",BH43,0),2)</f>
        <v>0</v>
      </c>
      <c r="AC43" s="24">
        <f>ROUND(IF(AQ43="1",BI43,0),2)</f>
        <v>0</v>
      </c>
      <c r="AD43" s="24">
        <f>ROUND(IF(AQ43="7",BH43,0),2)</f>
        <v>0</v>
      </c>
      <c r="AE43" s="24">
        <f>ROUND(IF(AQ43="7",BI43,0),2)</f>
        <v>0</v>
      </c>
      <c r="AF43" s="24">
        <f>ROUND(IF(AQ43="2",BH43,0),2)</f>
        <v>0</v>
      </c>
      <c r="AG43" s="24">
        <f>ROUND(IF(AQ43="2",BI43,0),2)</f>
        <v>0</v>
      </c>
      <c r="AH43" s="24">
        <f>ROUND(IF(AQ43="0",BJ43,0),2)</f>
        <v>0</v>
      </c>
      <c r="AI43" s="10" t="s">
        <v>49</v>
      </c>
      <c r="AJ43" s="24">
        <f>IF(AN43=0,J43,0)</f>
        <v>0</v>
      </c>
      <c r="AK43" s="24">
        <f>IF(AN43=12,J43,0)</f>
        <v>0</v>
      </c>
      <c r="AL43" s="24">
        <f>IF(AN43=21,J43,0)</f>
        <v>0</v>
      </c>
      <c r="AN43" s="24">
        <v>12</v>
      </c>
      <c r="AO43" s="24">
        <f>G43*0.418531646</f>
        <v>0</v>
      </c>
      <c r="AP43" s="24">
        <f>G43*(1-0.418531646)</f>
        <v>0</v>
      </c>
      <c r="AQ43" s="26" t="s">
        <v>74</v>
      </c>
      <c r="AV43" s="24">
        <f>ROUND(AW43+AX43,2)</f>
        <v>0</v>
      </c>
      <c r="AW43" s="24">
        <f>ROUND(F43*AO43,2)</f>
        <v>0</v>
      </c>
      <c r="AX43" s="24">
        <f>ROUND(F43*AP43,2)</f>
        <v>0</v>
      </c>
      <c r="AY43" s="26" t="s">
        <v>115</v>
      </c>
      <c r="AZ43" s="26" t="s">
        <v>116</v>
      </c>
      <c r="BA43" s="10" t="s">
        <v>59</v>
      </c>
      <c r="BC43" s="24">
        <f>AW43+AX43</f>
        <v>0</v>
      </c>
      <c r="BD43" s="24">
        <f>G43/(100-BE43)*100</f>
        <v>0</v>
      </c>
      <c r="BE43" s="24">
        <v>0</v>
      </c>
      <c r="BF43" s="24">
        <f>43</f>
        <v>43</v>
      </c>
      <c r="BH43" s="24">
        <f>F43*AO43</f>
        <v>0</v>
      </c>
      <c r="BI43" s="24">
        <f>F43*AP43</f>
        <v>0</v>
      </c>
      <c r="BJ43" s="24">
        <f>F43*G43</f>
        <v>0</v>
      </c>
      <c r="BK43" s="24"/>
      <c r="BL43" s="24">
        <v>762</v>
      </c>
      <c r="BW43" s="24">
        <v>12</v>
      </c>
      <c r="BX43" s="4" t="s">
        <v>134</v>
      </c>
    </row>
    <row r="44" spans="1:76" ht="13.5" customHeight="1" x14ac:dyDescent="0.3">
      <c r="A44" s="27"/>
      <c r="B44" s="28" t="s">
        <v>86</v>
      </c>
      <c r="C44" s="95" t="s">
        <v>132</v>
      </c>
      <c r="D44" s="96"/>
      <c r="E44" s="96"/>
      <c r="F44" s="96"/>
      <c r="G44" s="96"/>
      <c r="H44" s="96"/>
      <c r="I44" s="96"/>
      <c r="J44" s="96"/>
      <c r="K44" s="97"/>
    </row>
    <row r="45" spans="1:76" ht="14.4" x14ac:dyDescent="0.3">
      <c r="A45" s="2" t="s">
        <v>135</v>
      </c>
      <c r="B45" s="3" t="s">
        <v>136</v>
      </c>
      <c r="C45" s="89" t="s">
        <v>137</v>
      </c>
      <c r="D45" s="90"/>
      <c r="E45" s="3" t="s">
        <v>102</v>
      </c>
      <c r="F45" s="24">
        <v>30</v>
      </c>
      <c r="G45" s="24">
        <v>0</v>
      </c>
      <c r="H45" s="24">
        <f>ROUND(F45*AO45,2)</f>
        <v>0</v>
      </c>
      <c r="I45" s="24">
        <f>ROUND(F45*AP45,2)</f>
        <v>0</v>
      </c>
      <c r="J45" s="24">
        <f>ROUND(F45*G45,2)</f>
        <v>0</v>
      </c>
      <c r="K45" s="25" t="s">
        <v>56</v>
      </c>
      <c r="Z45" s="24">
        <f>ROUND(IF(AQ45="5",BJ45,0),2)</f>
        <v>0</v>
      </c>
      <c r="AB45" s="24">
        <f>ROUND(IF(AQ45="1",BH45,0),2)</f>
        <v>0</v>
      </c>
      <c r="AC45" s="24">
        <f>ROUND(IF(AQ45="1",BI45,0),2)</f>
        <v>0</v>
      </c>
      <c r="AD45" s="24">
        <f>ROUND(IF(AQ45="7",BH45,0),2)</f>
        <v>0</v>
      </c>
      <c r="AE45" s="24">
        <f>ROUND(IF(AQ45="7",BI45,0),2)</f>
        <v>0</v>
      </c>
      <c r="AF45" s="24">
        <f>ROUND(IF(AQ45="2",BH45,0),2)</f>
        <v>0</v>
      </c>
      <c r="AG45" s="24">
        <f>ROUND(IF(AQ45="2",BI45,0),2)</f>
        <v>0</v>
      </c>
      <c r="AH45" s="24">
        <f>ROUND(IF(AQ45="0",BJ45,0),2)</f>
        <v>0</v>
      </c>
      <c r="AI45" s="10" t="s">
        <v>49</v>
      </c>
      <c r="AJ45" s="24">
        <f>IF(AN45=0,J45,0)</f>
        <v>0</v>
      </c>
      <c r="AK45" s="24">
        <f>IF(AN45=12,J45,0)</f>
        <v>0</v>
      </c>
      <c r="AL45" s="24">
        <f>IF(AN45=21,J45,0)</f>
        <v>0</v>
      </c>
      <c r="AN45" s="24">
        <v>12</v>
      </c>
      <c r="AO45" s="24">
        <f>G45*0.0268</f>
        <v>0</v>
      </c>
      <c r="AP45" s="24">
        <f>G45*(1-0.0268)</f>
        <v>0</v>
      </c>
      <c r="AQ45" s="26" t="s">
        <v>74</v>
      </c>
      <c r="AV45" s="24">
        <f>ROUND(AW45+AX45,2)</f>
        <v>0</v>
      </c>
      <c r="AW45" s="24">
        <f>ROUND(F45*AO45,2)</f>
        <v>0</v>
      </c>
      <c r="AX45" s="24">
        <f>ROUND(F45*AP45,2)</f>
        <v>0</v>
      </c>
      <c r="AY45" s="26" t="s">
        <v>115</v>
      </c>
      <c r="AZ45" s="26" t="s">
        <v>116</v>
      </c>
      <c r="BA45" s="10" t="s">
        <v>59</v>
      </c>
      <c r="BC45" s="24">
        <f>AW45+AX45</f>
        <v>0</v>
      </c>
      <c r="BD45" s="24">
        <f>G45/(100-BE45)*100</f>
        <v>0</v>
      </c>
      <c r="BE45" s="24">
        <v>0</v>
      </c>
      <c r="BF45" s="24">
        <f>45</f>
        <v>45</v>
      </c>
      <c r="BH45" s="24">
        <f>F45*AO45</f>
        <v>0</v>
      </c>
      <c r="BI45" s="24">
        <f>F45*AP45</f>
        <v>0</v>
      </c>
      <c r="BJ45" s="24">
        <f>F45*G45</f>
        <v>0</v>
      </c>
      <c r="BK45" s="24"/>
      <c r="BL45" s="24">
        <v>762</v>
      </c>
      <c r="BW45" s="24">
        <v>12</v>
      </c>
      <c r="BX45" s="4" t="s">
        <v>137</v>
      </c>
    </row>
    <row r="46" spans="1:76" ht="14.4" x14ac:dyDescent="0.3">
      <c r="A46" s="2" t="s">
        <v>138</v>
      </c>
      <c r="B46" s="3" t="s">
        <v>139</v>
      </c>
      <c r="C46" s="89" t="s">
        <v>140</v>
      </c>
      <c r="D46" s="90"/>
      <c r="E46" s="3" t="s">
        <v>102</v>
      </c>
      <c r="F46" s="24">
        <v>65</v>
      </c>
      <c r="G46" s="24">
        <v>0</v>
      </c>
      <c r="H46" s="24">
        <f>ROUND(F46*AO46,2)</f>
        <v>0</v>
      </c>
      <c r="I46" s="24">
        <f>ROUND(F46*AP46,2)</f>
        <v>0</v>
      </c>
      <c r="J46" s="24">
        <f>ROUND(F46*G46,2)</f>
        <v>0</v>
      </c>
      <c r="K46" s="25" t="s">
        <v>56</v>
      </c>
      <c r="Z46" s="24">
        <f>ROUND(IF(AQ46="5",BJ46,0),2)</f>
        <v>0</v>
      </c>
      <c r="AB46" s="24">
        <f>ROUND(IF(AQ46="1",BH46,0),2)</f>
        <v>0</v>
      </c>
      <c r="AC46" s="24">
        <f>ROUND(IF(AQ46="1",BI46,0),2)</f>
        <v>0</v>
      </c>
      <c r="AD46" s="24">
        <f>ROUND(IF(AQ46="7",BH46,0),2)</f>
        <v>0</v>
      </c>
      <c r="AE46" s="24">
        <f>ROUND(IF(AQ46="7",BI46,0),2)</f>
        <v>0</v>
      </c>
      <c r="AF46" s="24">
        <f>ROUND(IF(AQ46="2",BH46,0),2)</f>
        <v>0</v>
      </c>
      <c r="AG46" s="24">
        <f>ROUND(IF(AQ46="2",BI46,0),2)</f>
        <v>0</v>
      </c>
      <c r="AH46" s="24">
        <f>ROUND(IF(AQ46="0",BJ46,0),2)</f>
        <v>0</v>
      </c>
      <c r="AI46" s="10" t="s">
        <v>49</v>
      </c>
      <c r="AJ46" s="24">
        <f>IF(AN46=0,J46,0)</f>
        <v>0</v>
      </c>
      <c r="AK46" s="24">
        <f>IF(AN46=12,J46,0)</f>
        <v>0</v>
      </c>
      <c r="AL46" s="24">
        <f>IF(AN46=21,J46,0)</f>
        <v>0</v>
      </c>
      <c r="AN46" s="24">
        <v>12</v>
      </c>
      <c r="AO46" s="24">
        <f>G46*0.032233677</f>
        <v>0</v>
      </c>
      <c r="AP46" s="24">
        <f>G46*(1-0.032233677)</f>
        <v>0</v>
      </c>
      <c r="AQ46" s="26" t="s">
        <v>74</v>
      </c>
      <c r="AV46" s="24">
        <f>ROUND(AW46+AX46,2)</f>
        <v>0</v>
      </c>
      <c r="AW46" s="24">
        <f>ROUND(F46*AO46,2)</f>
        <v>0</v>
      </c>
      <c r="AX46" s="24">
        <f>ROUND(F46*AP46,2)</f>
        <v>0</v>
      </c>
      <c r="AY46" s="26" t="s">
        <v>115</v>
      </c>
      <c r="AZ46" s="26" t="s">
        <v>116</v>
      </c>
      <c r="BA46" s="10" t="s">
        <v>59</v>
      </c>
      <c r="BC46" s="24">
        <f>AW46+AX46</f>
        <v>0</v>
      </c>
      <c r="BD46" s="24">
        <f>G46/(100-BE46)*100</f>
        <v>0</v>
      </c>
      <c r="BE46" s="24">
        <v>0</v>
      </c>
      <c r="BF46" s="24">
        <f>46</f>
        <v>46</v>
      </c>
      <c r="BH46" s="24">
        <f>F46*AO46</f>
        <v>0</v>
      </c>
      <c r="BI46" s="24">
        <f>F46*AP46</f>
        <v>0</v>
      </c>
      <c r="BJ46" s="24">
        <f>F46*G46</f>
        <v>0</v>
      </c>
      <c r="BK46" s="24"/>
      <c r="BL46" s="24">
        <v>762</v>
      </c>
      <c r="BW46" s="24">
        <v>12</v>
      </c>
      <c r="BX46" s="4" t="s">
        <v>140</v>
      </c>
    </row>
    <row r="47" spans="1:76" ht="14.4" x14ac:dyDescent="0.3">
      <c r="A47" s="2" t="s">
        <v>141</v>
      </c>
      <c r="B47" s="3" t="s">
        <v>142</v>
      </c>
      <c r="C47" s="89" t="s">
        <v>143</v>
      </c>
      <c r="D47" s="90"/>
      <c r="E47" s="3" t="s">
        <v>102</v>
      </c>
      <c r="F47" s="24">
        <v>12</v>
      </c>
      <c r="G47" s="24">
        <v>0</v>
      </c>
      <c r="H47" s="24">
        <f>ROUND(F47*AO47,2)</f>
        <v>0</v>
      </c>
      <c r="I47" s="24">
        <f>ROUND(F47*AP47,2)</f>
        <v>0</v>
      </c>
      <c r="J47" s="24">
        <f>ROUND(F47*G47,2)</f>
        <v>0</v>
      </c>
      <c r="K47" s="25" t="s">
        <v>56</v>
      </c>
      <c r="Z47" s="24">
        <f>ROUND(IF(AQ47="5",BJ47,0),2)</f>
        <v>0</v>
      </c>
      <c r="AB47" s="24">
        <f>ROUND(IF(AQ47="1",BH47,0),2)</f>
        <v>0</v>
      </c>
      <c r="AC47" s="24">
        <f>ROUND(IF(AQ47="1",BI47,0),2)</f>
        <v>0</v>
      </c>
      <c r="AD47" s="24">
        <f>ROUND(IF(AQ47="7",BH47,0),2)</f>
        <v>0</v>
      </c>
      <c r="AE47" s="24">
        <f>ROUND(IF(AQ47="7",BI47,0),2)</f>
        <v>0</v>
      </c>
      <c r="AF47" s="24">
        <f>ROUND(IF(AQ47="2",BH47,0),2)</f>
        <v>0</v>
      </c>
      <c r="AG47" s="24">
        <f>ROUND(IF(AQ47="2",BI47,0),2)</f>
        <v>0</v>
      </c>
      <c r="AH47" s="24">
        <f>ROUND(IF(AQ47="0",BJ47,0),2)</f>
        <v>0</v>
      </c>
      <c r="AI47" s="10" t="s">
        <v>49</v>
      </c>
      <c r="AJ47" s="24">
        <f>IF(AN47=0,J47,0)</f>
        <v>0</v>
      </c>
      <c r="AK47" s="24">
        <f>IF(AN47=12,J47,0)</f>
        <v>0</v>
      </c>
      <c r="AL47" s="24">
        <f>IF(AN47=21,J47,0)</f>
        <v>0</v>
      </c>
      <c r="AN47" s="24">
        <v>12</v>
      </c>
      <c r="AO47" s="24">
        <f>G47*0.020751294</f>
        <v>0</v>
      </c>
      <c r="AP47" s="24">
        <f>G47*(1-0.020751294)</f>
        <v>0</v>
      </c>
      <c r="AQ47" s="26" t="s">
        <v>74</v>
      </c>
      <c r="AV47" s="24">
        <f>ROUND(AW47+AX47,2)</f>
        <v>0</v>
      </c>
      <c r="AW47" s="24">
        <f>ROUND(F47*AO47,2)</f>
        <v>0</v>
      </c>
      <c r="AX47" s="24">
        <f>ROUND(F47*AP47,2)</f>
        <v>0</v>
      </c>
      <c r="AY47" s="26" t="s">
        <v>115</v>
      </c>
      <c r="AZ47" s="26" t="s">
        <v>116</v>
      </c>
      <c r="BA47" s="10" t="s">
        <v>59</v>
      </c>
      <c r="BC47" s="24">
        <f>AW47+AX47</f>
        <v>0</v>
      </c>
      <c r="BD47" s="24">
        <f>G47/(100-BE47)*100</f>
        <v>0</v>
      </c>
      <c r="BE47" s="24">
        <v>0</v>
      </c>
      <c r="BF47" s="24">
        <f>47</f>
        <v>47</v>
      </c>
      <c r="BH47" s="24">
        <f>F47*AO47</f>
        <v>0</v>
      </c>
      <c r="BI47" s="24">
        <f>F47*AP47</f>
        <v>0</v>
      </c>
      <c r="BJ47" s="24">
        <f>F47*G47</f>
        <v>0</v>
      </c>
      <c r="BK47" s="24"/>
      <c r="BL47" s="24">
        <v>762</v>
      </c>
      <c r="BW47" s="24">
        <v>12</v>
      </c>
      <c r="BX47" s="4" t="s">
        <v>143</v>
      </c>
    </row>
    <row r="48" spans="1:76" ht="14.4" x14ac:dyDescent="0.3">
      <c r="A48" s="2" t="s">
        <v>144</v>
      </c>
      <c r="B48" s="3" t="s">
        <v>145</v>
      </c>
      <c r="C48" s="89" t="s">
        <v>146</v>
      </c>
      <c r="D48" s="90"/>
      <c r="E48" s="3" t="s">
        <v>102</v>
      </c>
      <c r="F48" s="24">
        <v>95</v>
      </c>
      <c r="G48" s="24">
        <v>0</v>
      </c>
      <c r="H48" s="24">
        <f>ROUND(F48*AO48,2)</f>
        <v>0</v>
      </c>
      <c r="I48" s="24">
        <f>ROUND(F48*AP48,2)</f>
        <v>0</v>
      </c>
      <c r="J48" s="24">
        <f>ROUND(F48*G48,2)</f>
        <v>0</v>
      </c>
      <c r="K48" s="25" t="s">
        <v>56</v>
      </c>
      <c r="Z48" s="24">
        <f>ROUND(IF(AQ48="5",BJ48,0),2)</f>
        <v>0</v>
      </c>
      <c r="AB48" s="24">
        <f>ROUND(IF(AQ48="1",BH48,0),2)</f>
        <v>0</v>
      </c>
      <c r="AC48" s="24">
        <f>ROUND(IF(AQ48="1",BI48,0),2)</f>
        <v>0</v>
      </c>
      <c r="AD48" s="24">
        <f>ROUND(IF(AQ48="7",BH48,0),2)</f>
        <v>0</v>
      </c>
      <c r="AE48" s="24">
        <f>ROUND(IF(AQ48="7",BI48,0),2)</f>
        <v>0</v>
      </c>
      <c r="AF48" s="24">
        <f>ROUND(IF(AQ48="2",BH48,0),2)</f>
        <v>0</v>
      </c>
      <c r="AG48" s="24">
        <f>ROUND(IF(AQ48="2",BI48,0),2)</f>
        <v>0</v>
      </c>
      <c r="AH48" s="24">
        <f>ROUND(IF(AQ48="0",BJ48,0),2)</f>
        <v>0</v>
      </c>
      <c r="AI48" s="10" t="s">
        <v>49</v>
      </c>
      <c r="AJ48" s="24">
        <f>IF(AN48=0,J48,0)</f>
        <v>0</v>
      </c>
      <c r="AK48" s="24">
        <f>IF(AN48=12,J48,0)</f>
        <v>0</v>
      </c>
      <c r="AL48" s="24">
        <f>IF(AN48=21,J48,0)</f>
        <v>0</v>
      </c>
      <c r="AN48" s="24">
        <v>12</v>
      </c>
      <c r="AO48" s="24">
        <f>G48*0.332252964</f>
        <v>0</v>
      </c>
      <c r="AP48" s="24">
        <f>G48*(1-0.332252964)</f>
        <v>0</v>
      </c>
      <c r="AQ48" s="26" t="s">
        <v>74</v>
      </c>
      <c r="AV48" s="24">
        <f>ROUND(AW48+AX48,2)</f>
        <v>0</v>
      </c>
      <c r="AW48" s="24">
        <f>ROUND(F48*AO48,2)</f>
        <v>0</v>
      </c>
      <c r="AX48" s="24">
        <f>ROUND(F48*AP48,2)</f>
        <v>0</v>
      </c>
      <c r="AY48" s="26" t="s">
        <v>115</v>
      </c>
      <c r="AZ48" s="26" t="s">
        <v>116</v>
      </c>
      <c r="BA48" s="10" t="s">
        <v>59</v>
      </c>
      <c r="BC48" s="24">
        <f>AW48+AX48</f>
        <v>0</v>
      </c>
      <c r="BD48" s="24">
        <f>G48/(100-BE48)*100</f>
        <v>0</v>
      </c>
      <c r="BE48" s="24">
        <v>0</v>
      </c>
      <c r="BF48" s="24">
        <f>48</f>
        <v>48</v>
      </c>
      <c r="BH48" s="24">
        <f>F48*AO48</f>
        <v>0</v>
      </c>
      <c r="BI48" s="24">
        <f>F48*AP48</f>
        <v>0</v>
      </c>
      <c r="BJ48" s="24">
        <f>F48*G48</f>
        <v>0</v>
      </c>
      <c r="BK48" s="24"/>
      <c r="BL48" s="24">
        <v>762</v>
      </c>
      <c r="BW48" s="24">
        <v>12</v>
      </c>
      <c r="BX48" s="4" t="s">
        <v>146</v>
      </c>
    </row>
    <row r="49" spans="1:76" ht="13.5" customHeight="1" x14ac:dyDescent="0.3">
      <c r="A49" s="27"/>
      <c r="B49" s="28" t="s">
        <v>86</v>
      </c>
      <c r="C49" s="95" t="s">
        <v>147</v>
      </c>
      <c r="D49" s="96"/>
      <c r="E49" s="96"/>
      <c r="F49" s="96"/>
      <c r="G49" s="96"/>
      <c r="H49" s="96"/>
      <c r="I49" s="96"/>
      <c r="J49" s="96"/>
      <c r="K49" s="97"/>
    </row>
    <row r="50" spans="1:76" ht="14.4" x14ac:dyDescent="0.3">
      <c r="A50" s="27"/>
      <c r="B50" s="28" t="s">
        <v>63</v>
      </c>
      <c r="C50" s="95" t="s">
        <v>148</v>
      </c>
      <c r="D50" s="96"/>
      <c r="E50" s="96"/>
      <c r="F50" s="96"/>
      <c r="G50" s="96"/>
      <c r="H50" s="96"/>
      <c r="I50" s="96"/>
      <c r="J50" s="96"/>
      <c r="K50" s="97"/>
      <c r="BX50" s="29" t="s">
        <v>148</v>
      </c>
    </row>
    <row r="51" spans="1:76" ht="14.4" x14ac:dyDescent="0.3">
      <c r="A51" s="2" t="s">
        <v>149</v>
      </c>
      <c r="B51" s="3" t="s">
        <v>150</v>
      </c>
      <c r="C51" s="89" t="s">
        <v>151</v>
      </c>
      <c r="D51" s="90"/>
      <c r="E51" s="3" t="s">
        <v>102</v>
      </c>
      <c r="F51" s="24">
        <v>24</v>
      </c>
      <c r="G51" s="24">
        <v>0</v>
      </c>
      <c r="H51" s="24">
        <f>ROUND(F51*AO51,2)</f>
        <v>0</v>
      </c>
      <c r="I51" s="24">
        <f>ROUND(F51*AP51,2)</f>
        <v>0</v>
      </c>
      <c r="J51" s="24">
        <f>ROUND(F51*G51,2)</f>
        <v>0</v>
      </c>
      <c r="K51" s="25" t="s">
        <v>56</v>
      </c>
      <c r="Z51" s="24">
        <f>ROUND(IF(AQ51="5",BJ51,0),2)</f>
        <v>0</v>
      </c>
      <c r="AB51" s="24">
        <f>ROUND(IF(AQ51="1",BH51,0),2)</f>
        <v>0</v>
      </c>
      <c r="AC51" s="24">
        <f>ROUND(IF(AQ51="1",BI51,0),2)</f>
        <v>0</v>
      </c>
      <c r="AD51" s="24">
        <f>ROUND(IF(AQ51="7",BH51,0),2)</f>
        <v>0</v>
      </c>
      <c r="AE51" s="24">
        <f>ROUND(IF(AQ51="7",BI51,0),2)</f>
        <v>0</v>
      </c>
      <c r="AF51" s="24">
        <f>ROUND(IF(AQ51="2",BH51,0),2)</f>
        <v>0</v>
      </c>
      <c r="AG51" s="24">
        <f>ROUND(IF(AQ51="2",BI51,0),2)</f>
        <v>0</v>
      </c>
      <c r="AH51" s="24">
        <f>ROUND(IF(AQ51="0",BJ51,0),2)</f>
        <v>0</v>
      </c>
      <c r="AI51" s="10" t="s">
        <v>49</v>
      </c>
      <c r="AJ51" s="24">
        <f>IF(AN51=0,J51,0)</f>
        <v>0</v>
      </c>
      <c r="AK51" s="24">
        <f>IF(AN51=12,J51,0)</f>
        <v>0</v>
      </c>
      <c r="AL51" s="24">
        <f>IF(AN51=21,J51,0)</f>
        <v>0</v>
      </c>
      <c r="AN51" s="24">
        <v>12</v>
      </c>
      <c r="AO51" s="24">
        <f>G51*0.537863128</f>
        <v>0</v>
      </c>
      <c r="AP51" s="24">
        <f>G51*(1-0.537863128)</f>
        <v>0</v>
      </c>
      <c r="AQ51" s="26" t="s">
        <v>74</v>
      </c>
      <c r="AV51" s="24">
        <f>ROUND(AW51+AX51,2)</f>
        <v>0</v>
      </c>
      <c r="AW51" s="24">
        <f>ROUND(F51*AO51,2)</f>
        <v>0</v>
      </c>
      <c r="AX51" s="24">
        <f>ROUND(F51*AP51,2)</f>
        <v>0</v>
      </c>
      <c r="AY51" s="26" t="s">
        <v>115</v>
      </c>
      <c r="AZ51" s="26" t="s">
        <v>116</v>
      </c>
      <c r="BA51" s="10" t="s">
        <v>59</v>
      </c>
      <c r="BC51" s="24">
        <f>AW51+AX51</f>
        <v>0</v>
      </c>
      <c r="BD51" s="24">
        <f>G51/(100-BE51)*100</f>
        <v>0</v>
      </c>
      <c r="BE51" s="24">
        <v>0</v>
      </c>
      <c r="BF51" s="24">
        <f>51</f>
        <v>51</v>
      </c>
      <c r="BH51" s="24">
        <f>F51*AO51</f>
        <v>0</v>
      </c>
      <c r="BI51" s="24">
        <f>F51*AP51</f>
        <v>0</v>
      </c>
      <c r="BJ51" s="24">
        <f>F51*G51</f>
        <v>0</v>
      </c>
      <c r="BK51" s="24"/>
      <c r="BL51" s="24">
        <v>762</v>
      </c>
      <c r="BW51" s="24">
        <v>12</v>
      </c>
      <c r="BX51" s="4" t="s">
        <v>151</v>
      </c>
    </row>
    <row r="52" spans="1:76" ht="13.5" customHeight="1" x14ac:dyDescent="0.3">
      <c r="A52" s="27"/>
      <c r="B52" s="28" t="s">
        <v>86</v>
      </c>
      <c r="C52" s="95" t="s">
        <v>152</v>
      </c>
      <c r="D52" s="96"/>
      <c r="E52" s="96"/>
      <c r="F52" s="96"/>
      <c r="G52" s="96"/>
      <c r="H52" s="96"/>
      <c r="I52" s="96"/>
      <c r="J52" s="96"/>
      <c r="K52" s="97"/>
    </row>
    <row r="53" spans="1:76" ht="14.4" x14ac:dyDescent="0.3">
      <c r="A53" s="27"/>
      <c r="B53" s="28" t="s">
        <v>63</v>
      </c>
      <c r="C53" s="95" t="s">
        <v>148</v>
      </c>
      <c r="D53" s="96"/>
      <c r="E53" s="96"/>
      <c r="F53" s="96"/>
      <c r="G53" s="96"/>
      <c r="H53" s="96"/>
      <c r="I53" s="96"/>
      <c r="J53" s="96"/>
      <c r="K53" s="97"/>
      <c r="BX53" s="29" t="s">
        <v>148</v>
      </c>
    </row>
    <row r="54" spans="1:76" ht="14.4" x14ac:dyDescent="0.3">
      <c r="A54" s="2" t="s">
        <v>153</v>
      </c>
      <c r="B54" s="3" t="s">
        <v>154</v>
      </c>
      <c r="C54" s="89" t="s">
        <v>155</v>
      </c>
      <c r="D54" s="90"/>
      <c r="E54" s="3" t="s">
        <v>55</v>
      </c>
      <c r="F54" s="24">
        <v>9</v>
      </c>
      <c r="G54" s="24">
        <v>0</v>
      </c>
      <c r="H54" s="24">
        <f>ROUND(F54*AO54,2)</f>
        <v>0</v>
      </c>
      <c r="I54" s="24">
        <f>ROUND(F54*AP54,2)</f>
        <v>0</v>
      </c>
      <c r="J54" s="24">
        <f>ROUND(F54*G54,2)</f>
        <v>0</v>
      </c>
      <c r="K54" s="25" t="s">
        <v>56</v>
      </c>
      <c r="Z54" s="24">
        <f>ROUND(IF(AQ54="5",BJ54,0),2)</f>
        <v>0</v>
      </c>
      <c r="AB54" s="24">
        <f>ROUND(IF(AQ54="1",BH54,0),2)</f>
        <v>0</v>
      </c>
      <c r="AC54" s="24">
        <f>ROUND(IF(AQ54="1",BI54,0),2)</f>
        <v>0</v>
      </c>
      <c r="AD54" s="24">
        <f>ROUND(IF(AQ54="7",BH54,0),2)</f>
        <v>0</v>
      </c>
      <c r="AE54" s="24">
        <f>ROUND(IF(AQ54="7",BI54,0),2)</f>
        <v>0</v>
      </c>
      <c r="AF54" s="24">
        <f>ROUND(IF(AQ54="2",BH54,0),2)</f>
        <v>0</v>
      </c>
      <c r="AG54" s="24">
        <f>ROUND(IF(AQ54="2",BI54,0),2)</f>
        <v>0</v>
      </c>
      <c r="AH54" s="24">
        <f>ROUND(IF(AQ54="0",BJ54,0),2)</f>
        <v>0</v>
      </c>
      <c r="AI54" s="10" t="s">
        <v>49</v>
      </c>
      <c r="AJ54" s="24">
        <f>IF(AN54=0,J54,0)</f>
        <v>0</v>
      </c>
      <c r="AK54" s="24">
        <f>IF(AN54=12,J54,0)</f>
        <v>0</v>
      </c>
      <c r="AL54" s="24">
        <f>IF(AN54=21,J54,0)</f>
        <v>0</v>
      </c>
      <c r="AN54" s="24">
        <v>12</v>
      </c>
      <c r="AO54" s="24">
        <f>G54*0.529787836</f>
        <v>0</v>
      </c>
      <c r="AP54" s="24">
        <f>G54*(1-0.529787836)</f>
        <v>0</v>
      </c>
      <c r="AQ54" s="26" t="s">
        <v>74</v>
      </c>
      <c r="AV54" s="24">
        <f>ROUND(AW54+AX54,2)</f>
        <v>0</v>
      </c>
      <c r="AW54" s="24">
        <f>ROUND(F54*AO54,2)</f>
        <v>0</v>
      </c>
      <c r="AX54" s="24">
        <f>ROUND(F54*AP54,2)</f>
        <v>0</v>
      </c>
      <c r="AY54" s="26" t="s">
        <v>115</v>
      </c>
      <c r="AZ54" s="26" t="s">
        <v>116</v>
      </c>
      <c r="BA54" s="10" t="s">
        <v>59</v>
      </c>
      <c r="BC54" s="24">
        <f>AW54+AX54</f>
        <v>0</v>
      </c>
      <c r="BD54" s="24">
        <f>G54/(100-BE54)*100</f>
        <v>0</v>
      </c>
      <c r="BE54" s="24">
        <v>0</v>
      </c>
      <c r="BF54" s="24">
        <f>54</f>
        <v>54</v>
      </c>
      <c r="BH54" s="24">
        <f>F54*AO54</f>
        <v>0</v>
      </c>
      <c r="BI54" s="24">
        <f>F54*AP54</f>
        <v>0</v>
      </c>
      <c r="BJ54" s="24">
        <f>F54*G54</f>
        <v>0</v>
      </c>
      <c r="BK54" s="24"/>
      <c r="BL54" s="24">
        <v>762</v>
      </c>
      <c r="BW54" s="24">
        <v>12</v>
      </c>
      <c r="BX54" s="4" t="s">
        <v>155</v>
      </c>
    </row>
    <row r="55" spans="1:76" ht="13.5" customHeight="1" x14ac:dyDescent="0.3">
      <c r="A55" s="27"/>
      <c r="B55" s="28" t="s">
        <v>86</v>
      </c>
      <c r="C55" s="95" t="s">
        <v>156</v>
      </c>
      <c r="D55" s="96"/>
      <c r="E55" s="96"/>
      <c r="F55" s="96"/>
      <c r="G55" s="96"/>
      <c r="H55" s="96"/>
      <c r="I55" s="96"/>
      <c r="J55" s="96"/>
      <c r="K55" s="97"/>
    </row>
    <row r="56" spans="1:76" ht="14.4" x14ac:dyDescent="0.3">
      <c r="A56" s="2" t="s">
        <v>157</v>
      </c>
      <c r="B56" s="3" t="s">
        <v>154</v>
      </c>
      <c r="C56" s="89" t="s">
        <v>158</v>
      </c>
      <c r="D56" s="90"/>
      <c r="E56" s="3" t="s">
        <v>55</v>
      </c>
      <c r="F56" s="24">
        <v>13</v>
      </c>
      <c r="G56" s="24">
        <v>0</v>
      </c>
      <c r="H56" s="24">
        <f>ROUND(F56*AO56,2)</f>
        <v>0</v>
      </c>
      <c r="I56" s="24">
        <f>ROUND(F56*AP56,2)</f>
        <v>0</v>
      </c>
      <c r="J56" s="24">
        <f>ROUND(F56*G56,2)</f>
        <v>0</v>
      </c>
      <c r="K56" s="25" t="s">
        <v>56</v>
      </c>
      <c r="Z56" s="24">
        <f>ROUND(IF(AQ56="5",BJ56,0),2)</f>
        <v>0</v>
      </c>
      <c r="AB56" s="24">
        <f>ROUND(IF(AQ56="1",BH56,0),2)</f>
        <v>0</v>
      </c>
      <c r="AC56" s="24">
        <f>ROUND(IF(AQ56="1",BI56,0),2)</f>
        <v>0</v>
      </c>
      <c r="AD56" s="24">
        <f>ROUND(IF(AQ56="7",BH56,0),2)</f>
        <v>0</v>
      </c>
      <c r="AE56" s="24">
        <f>ROUND(IF(AQ56="7",BI56,0),2)</f>
        <v>0</v>
      </c>
      <c r="AF56" s="24">
        <f>ROUND(IF(AQ56="2",BH56,0),2)</f>
        <v>0</v>
      </c>
      <c r="AG56" s="24">
        <f>ROUND(IF(AQ56="2",BI56,0),2)</f>
        <v>0</v>
      </c>
      <c r="AH56" s="24">
        <f>ROUND(IF(AQ56="0",BJ56,0),2)</f>
        <v>0</v>
      </c>
      <c r="AI56" s="10" t="s">
        <v>49</v>
      </c>
      <c r="AJ56" s="24">
        <f>IF(AN56=0,J56,0)</f>
        <v>0</v>
      </c>
      <c r="AK56" s="24">
        <f>IF(AN56=12,J56,0)</f>
        <v>0</v>
      </c>
      <c r="AL56" s="24">
        <f>IF(AN56=21,J56,0)</f>
        <v>0</v>
      </c>
      <c r="AN56" s="24">
        <v>12</v>
      </c>
      <c r="AO56" s="24">
        <f>G56*0.529787836</f>
        <v>0</v>
      </c>
      <c r="AP56" s="24">
        <f>G56*(1-0.529787836)</f>
        <v>0</v>
      </c>
      <c r="AQ56" s="26" t="s">
        <v>74</v>
      </c>
      <c r="AV56" s="24">
        <f>ROUND(AW56+AX56,2)</f>
        <v>0</v>
      </c>
      <c r="AW56" s="24">
        <f>ROUND(F56*AO56,2)</f>
        <v>0</v>
      </c>
      <c r="AX56" s="24">
        <f>ROUND(F56*AP56,2)</f>
        <v>0</v>
      </c>
      <c r="AY56" s="26" t="s">
        <v>115</v>
      </c>
      <c r="AZ56" s="26" t="s">
        <v>116</v>
      </c>
      <c r="BA56" s="10" t="s">
        <v>59</v>
      </c>
      <c r="BC56" s="24">
        <f>AW56+AX56</f>
        <v>0</v>
      </c>
      <c r="BD56" s="24">
        <f>G56/(100-BE56)*100</f>
        <v>0</v>
      </c>
      <c r="BE56" s="24">
        <v>0</v>
      </c>
      <c r="BF56" s="24">
        <f>56</f>
        <v>56</v>
      </c>
      <c r="BH56" s="24">
        <f>F56*AO56</f>
        <v>0</v>
      </c>
      <c r="BI56" s="24">
        <f>F56*AP56</f>
        <v>0</v>
      </c>
      <c r="BJ56" s="24">
        <f>F56*G56</f>
        <v>0</v>
      </c>
      <c r="BK56" s="24"/>
      <c r="BL56" s="24">
        <v>762</v>
      </c>
      <c r="BW56" s="24">
        <v>12</v>
      </c>
      <c r="BX56" s="4" t="s">
        <v>158</v>
      </c>
    </row>
    <row r="57" spans="1:76" ht="13.5" customHeight="1" x14ac:dyDescent="0.3">
      <c r="A57" s="27"/>
      <c r="B57" s="28" t="s">
        <v>86</v>
      </c>
      <c r="C57" s="95" t="s">
        <v>156</v>
      </c>
      <c r="D57" s="96"/>
      <c r="E57" s="96"/>
      <c r="F57" s="96"/>
      <c r="G57" s="96"/>
      <c r="H57" s="96"/>
      <c r="I57" s="96"/>
      <c r="J57" s="96"/>
      <c r="K57" s="97"/>
    </row>
    <row r="58" spans="1:76" ht="14.4" x14ac:dyDescent="0.3">
      <c r="A58" s="2" t="s">
        <v>159</v>
      </c>
      <c r="B58" s="3" t="s">
        <v>154</v>
      </c>
      <c r="C58" s="89" t="s">
        <v>160</v>
      </c>
      <c r="D58" s="90"/>
      <c r="E58" s="3" t="s">
        <v>55</v>
      </c>
      <c r="F58" s="24">
        <v>677</v>
      </c>
      <c r="G58" s="24">
        <v>0</v>
      </c>
      <c r="H58" s="24">
        <f>ROUND(F58*AO58,2)</f>
        <v>0</v>
      </c>
      <c r="I58" s="24">
        <f>ROUND(F58*AP58,2)</f>
        <v>0</v>
      </c>
      <c r="J58" s="24">
        <f>ROUND(F58*G58,2)</f>
        <v>0</v>
      </c>
      <c r="K58" s="25" t="s">
        <v>56</v>
      </c>
      <c r="Z58" s="24">
        <f>ROUND(IF(AQ58="5",BJ58,0),2)</f>
        <v>0</v>
      </c>
      <c r="AB58" s="24">
        <f>ROUND(IF(AQ58="1",BH58,0),2)</f>
        <v>0</v>
      </c>
      <c r="AC58" s="24">
        <f>ROUND(IF(AQ58="1",BI58,0),2)</f>
        <v>0</v>
      </c>
      <c r="AD58" s="24">
        <f>ROUND(IF(AQ58="7",BH58,0),2)</f>
        <v>0</v>
      </c>
      <c r="AE58" s="24">
        <f>ROUND(IF(AQ58="7",BI58,0),2)</f>
        <v>0</v>
      </c>
      <c r="AF58" s="24">
        <f>ROUND(IF(AQ58="2",BH58,0),2)</f>
        <v>0</v>
      </c>
      <c r="AG58" s="24">
        <f>ROUND(IF(AQ58="2",BI58,0),2)</f>
        <v>0</v>
      </c>
      <c r="AH58" s="24">
        <f>ROUND(IF(AQ58="0",BJ58,0),2)</f>
        <v>0</v>
      </c>
      <c r="AI58" s="10" t="s">
        <v>49</v>
      </c>
      <c r="AJ58" s="24">
        <f>IF(AN58=0,J58,0)</f>
        <v>0</v>
      </c>
      <c r="AK58" s="24">
        <f>IF(AN58=12,J58,0)</f>
        <v>0</v>
      </c>
      <c r="AL58" s="24">
        <f>IF(AN58=21,J58,0)</f>
        <v>0</v>
      </c>
      <c r="AN58" s="24">
        <v>12</v>
      </c>
      <c r="AO58" s="24">
        <f>G58*0.529787836</f>
        <v>0</v>
      </c>
      <c r="AP58" s="24">
        <f>G58*(1-0.529787836)</f>
        <v>0</v>
      </c>
      <c r="AQ58" s="26" t="s">
        <v>74</v>
      </c>
      <c r="AV58" s="24">
        <f>ROUND(AW58+AX58,2)</f>
        <v>0</v>
      </c>
      <c r="AW58" s="24">
        <f>ROUND(F58*AO58,2)</f>
        <v>0</v>
      </c>
      <c r="AX58" s="24">
        <f>ROUND(F58*AP58,2)</f>
        <v>0</v>
      </c>
      <c r="AY58" s="26" t="s">
        <v>115</v>
      </c>
      <c r="AZ58" s="26" t="s">
        <v>116</v>
      </c>
      <c r="BA58" s="10" t="s">
        <v>59</v>
      </c>
      <c r="BC58" s="24">
        <f>AW58+AX58</f>
        <v>0</v>
      </c>
      <c r="BD58" s="24">
        <f>G58/(100-BE58)*100</f>
        <v>0</v>
      </c>
      <c r="BE58" s="24">
        <v>0</v>
      </c>
      <c r="BF58" s="24">
        <f>58</f>
        <v>58</v>
      </c>
      <c r="BH58" s="24">
        <f>F58*AO58</f>
        <v>0</v>
      </c>
      <c r="BI58" s="24">
        <f>F58*AP58</f>
        <v>0</v>
      </c>
      <c r="BJ58" s="24">
        <f>F58*G58</f>
        <v>0</v>
      </c>
      <c r="BK58" s="24"/>
      <c r="BL58" s="24">
        <v>762</v>
      </c>
      <c r="BW58" s="24">
        <v>12</v>
      </c>
      <c r="BX58" s="4" t="s">
        <v>160</v>
      </c>
    </row>
    <row r="59" spans="1:76" ht="13.5" customHeight="1" x14ac:dyDescent="0.3">
      <c r="A59" s="27"/>
      <c r="B59" s="28" t="s">
        <v>86</v>
      </c>
      <c r="C59" s="95" t="s">
        <v>156</v>
      </c>
      <c r="D59" s="96"/>
      <c r="E59" s="96"/>
      <c r="F59" s="96"/>
      <c r="G59" s="96"/>
      <c r="H59" s="96"/>
      <c r="I59" s="96"/>
      <c r="J59" s="96"/>
      <c r="K59" s="97"/>
    </row>
    <row r="60" spans="1:76" ht="14.4" x14ac:dyDescent="0.3">
      <c r="A60" s="2" t="s">
        <v>161</v>
      </c>
      <c r="B60" s="3" t="s">
        <v>162</v>
      </c>
      <c r="C60" s="89" t="s">
        <v>163</v>
      </c>
      <c r="D60" s="90"/>
      <c r="E60" s="3" t="s">
        <v>55</v>
      </c>
      <c r="F60" s="24">
        <v>24</v>
      </c>
      <c r="G60" s="24">
        <v>0</v>
      </c>
      <c r="H60" s="24">
        <f>ROUND(F60*AO60,2)</f>
        <v>0</v>
      </c>
      <c r="I60" s="24">
        <f>ROUND(F60*AP60,2)</f>
        <v>0</v>
      </c>
      <c r="J60" s="24">
        <f>ROUND(F60*G60,2)</f>
        <v>0</v>
      </c>
      <c r="K60" s="25" t="s">
        <v>56</v>
      </c>
      <c r="Z60" s="24">
        <f>ROUND(IF(AQ60="5",BJ60,0),2)</f>
        <v>0</v>
      </c>
      <c r="AB60" s="24">
        <f>ROUND(IF(AQ60="1",BH60,0),2)</f>
        <v>0</v>
      </c>
      <c r="AC60" s="24">
        <f>ROUND(IF(AQ60="1",BI60,0),2)</f>
        <v>0</v>
      </c>
      <c r="AD60" s="24">
        <f>ROUND(IF(AQ60="7",BH60,0),2)</f>
        <v>0</v>
      </c>
      <c r="AE60" s="24">
        <f>ROUND(IF(AQ60="7",BI60,0),2)</f>
        <v>0</v>
      </c>
      <c r="AF60" s="24">
        <f>ROUND(IF(AQ60="2",BH60,0),2)</f>
        <v>0</v>
      </c>
      <c r="AG60" s="24">
        <f>ROUND(IF(AQ60="2",BI60,0),2)</f>
        <v>0</v>
      </c>
      <c r="AH60" s="24">
        <f>ROUND(IF(AQ60="0",BJ60,0),2)</f>
        <v>0</v>
      </c>
      <c r="AI60" s="10" t="s">
        <v>49</v>
      </c>
      <c r="AJ60" s="24">
        <f>IF(AN60=0,J60,0)</f>
        <v>0</v>
      </c>
      <c r="AK60" s="24">
        <f>IF(AN60=12,J60,0)</f>
        <v>0</v>
      </c>
      <c r="AL60" s="24">
        <f>IF(AN60=21,J60,0)</f>
        <v>0</v>
      </c>
      <c r="AN60" s="24">
        <v>12</v>
      </c>
      <c r="AO60" s="24">
        <f>G60*0.462205882</f>
        <v>0</v>
      </c>
      <c r="AP60" s="24">
        <f>G60*(1-0.462205882)</f>
        <v>0</v>
      </c>
      <c r="AQ60" s="26" t="s">
        <v>74</v>
      </c>
      <c r="AV60" s="24">
        <f>ROUND(AW60+AX60,2)</f>
        <v>0</v>
      </c>
      <c r="AW60" s="24">
        <f>ROUND(F60*AO60,2)</f>
        <v>0</v>
      </c>
      <c r="AX60" s="24">
        <f>ROUND(F60*AP60,2)</f>
        <v>0</v>
      </c>
      <c r="AY60" s="26" t="s">
        <v>115</v>
      </c>
      <c r="AZ60" s="26" t="s">
        <v>116</v>
      </c>
      <c r="BA60" s="10" t="s">
        <v>59</v>
      </c>
      <c r="BC60" s="24">
        <f>AW60+AX60</f>
        <v>0</v>
      </c>
      <c r="BD60" s="24">
        <f>G60/(100-BE60)*100</f>
        <v>0</v>
      </c>
      <c r="BE60" s="24">
        <v>0</v>
      </c>
      <c r="BF60" s="24">
        <f>60</f>
        <v>60</v>
      </c>
      <c r="BH60" s="24">
        <f>F60*AO60</f>
        <v>0</v>
      </c>
      <c r="BI60" s="24">
        <f>F60*AP60</f>
        <v>0</v>
      </c>
      <c r="BJ60" s="24">
        <f>F60*G60</f>
        <v>0</v>
      </c>
      <c r="BK60" s="24"/>
      <c r="BL60" s="24">
        <v>762</v>
      </c>
      <c r="BW60" s="24">
        <v>12</v>
      </c>
      <c r="BX60" s="4" t="s">
        <v>163</v>
      </c>
    </row>
    <row r="61" spans="1:76" ht="13.5" customHeight="1" x14ac:dyDescent="0.3">
      <c r="A61" s="27"/>
      <c r="B61" s="28" t="s">
        <v>86</v>
      </c>
      <c r="C61" s="95" t="s">
        <v>164</v>
      </c>
      <c r="D61" s="96"/>
      <c r="E61" s="96"/>
      <c r="F61" s="96"/>
      <c r="G61" s="96"/>
      <c r="H61" s="96"/>
      <c r="I61" s="96"/>
      <c r="J61" s="96"/>
      <c r="K61" s="97"/>
    </row>
    <row r="62" spans="1:76" ht="14.4" x14ac:dyDescent="0.3">
      <c r="A62" s="2" t="s">
        <v>165</v>
      </c>
      <c r="B62" s="3" t="s">
        <v>166</v>
      </c>
      <c r="C62" s="89" t="s">
        <v>167</v>
      </c>
      <c r="D62" s="90"/>
      <c r="E62" s="3" t="s">
        <v>55</v>
      </c>
      <c r="F62" s="24">
        <v>43</v>
      </c>
      <c r="G62" s="24">
        <v>0</v>
      </c>
      <c r="H62" s="24">
        <f>ROUND(F62*AO62,2)</f>
        <v>0</v>
      </c>
      <c r="I62" s="24">
        <f>ROUND(F62*AP62,2)</f>
        <v>0</v>
      </c>
      <c r="J62" s="24">
        <f>ROUND(F62*G62,2)</f>
        <v>0</v>
      </c>
      <c r="K62" s="25" t="s">
        <v>56</v>
      </c>
      <c r="Z62" s="24">
        <f>ROUND(IF(AQ62="5",BJ62,0),2)</f>
        <v>0</v>
      </c>
      <c r="AB62" s="24">
        <f>ROUND(IF(AQ62="1",BH62,0),2)</f>
        <v>0</v>
      </c>
      <c r="AC62" s="24">
        <f>ROUND(IF(AQ62="1",BI62,0),2)</f>
        <v>0</v>
      </c>
      <c r="AD62" s="24">
        <f>ROUND(IF(AQ62="7",BH62,0),2)</f>
        <v>0</v>
      </c>
      <c r="AE62" s="24">
        <f>ROUND(IF(AQ62="7",BI62,0),2)</f>
        <v>0</v>
      </c>
      <c r="AF62" s="24">
        <f>ROUND(IF(AQ62="2",BH62,0),2)</f>
        <v>0</v>
      </c>
      <c r="AG62" s="24">
        <f>ROUND(IF(AQ62="2",BI62,0),2)</f>
        <v>0</v>
      </c>
      <c r="AH62" s="24">
        <f>ROUND(IF(AQ62="0",BJ62,0),2)</f>
        <v>0</v>
      </c>
      <c r="AI62" s="10" t="s">
        <v>49</v>
      </c>
      <c r="AJ62" s="24">
        <f>IF(AN62=0,J62,0)</f>
        <v>0</v>
      </c>
      <c r="AK62" s="24">
        <f>IF(AN62=12,J62,0)</f>
        <v>0</v>
      </c>
      <c r="AL62" s="24">
        <f>IF(AN62=21,J62,0)</f>
        <v>0</v>
      </c>
      <c r="AN62" s="24">
        <v>12</v>
      </c>
      <c r="AO62" s="24">
        <f>G62*0.373578947</f>
        <v>0</v>
      </c>
      <c r="AP62" s="24">
        <f>G62*(1-0.373578947)</f>
        <v>0</v>
      </c>
      <c r="AQ62" s="26" t="s">
        <v>74</v>
      </c>
      <c r="AV62" s="24">
        <f>ROUND(AW62+AX62,2)</f>
        <v>0</v>
      </c>
      <c r="AW62" s="24">
        <f>ROUND(F62*AO62,2)</f>
        <v>0</v>
      </c>
      <c r="AX62" s="24">
        <f>ROUND(F62*AP62,2)</f>
        <v>0</v>
      </c>
      <c r="AY62" s="26" t="s">
        <v>115</v>
      </c>
      <c r="AZ62" s="26" t="s">
        <v>116</v>
      </c>
      <c r="BA62" s="10" t="s">
        <v>59</v>
      </c>
      <c r="BC62" s="24">
        <f>AW62+AX62</f>
        <v>0</v>
      </c>
      <c r="BD62" s="24">
        <f>G62/(100-BE62)*100</f>
        <v>0</v>
      </c>
      <c r="BE62" s="24">
        <v>0</v>
      </c>
      <c r="BF62" s="24">
        <f>62</f>
        <v>62</v>
      </c>
      <c r="BH62" s="24">
        <f>F62*AO62</f>
        <v>0</v>
      </c>
      <c r="BI62" s="24">
        <f>F62*AP62</f>
        <v>0</v>
      </c>
      <c r="BJ62" s="24">
        <f>F62*G62</f>
        <v>0</v>
      </c>
      <c r="BK62" s="24"/>
      <c r="BL62" s="24">
        <v>762</v>
      </c>
      <c r="BW62" s="24">
        <v>12</v>
      </c>
      <c r="BX62" s="4" t="s">
        <v>167</v>
      </c>
    </row>
    <row r="63" spans="1:76" ht="13.5" customHeight="1" x14ac:dyDescent="0.3">
      <c r="A63" s="27"/>
      <c r="B63" s="28" t="s">
        <v>86</v>
      </c>
      <c r="C63" s="95" t="s">
        <v>168</v>
      </c>
      <c r="D63" s="96"/>
      <c r="E63" s="96"/>
      <c r="F63" s="96"/>
      <c r="G63" s="96"/>
      <c r="H63" s="96"/>
      <c r="I63" s="96"/>
      <c r="J63" s="96"/>
      <c r="K63" s="97"/>
    </row>
    <row r="64" spans="1:76" ht="14.4" x14ac:dyDescent="0.3">
      <c r="A64" s="2" t="s">
        <v>169</v>
      </c>
      <c r="B64" s="3" t="s">
        <v>170</v>
      </c>
      <c r="C64" s="89" t="s">
        <v>171</v>
      </c>
      <c r="D64" s="90"/>
      <c r="E64" s="3" t="s">
        <v>55</v>
      </c>
      <c r="F64" s="24">
        <v>46</v>
      </c>
      <c r="G64" s="24">
        <v>0</v>
      </c>
      <c r="H64" s="24">
        <f>ROUND(F64*AO64,2)</f>
        <v>0</v>
      </c>
      <c r="I64" s="24">
        <f>ROUND(F64*AP64,2)</f>
        <v>0</v>
      </c>
      <c r="J64" s="24">
        <f>ROUND(F64*G64,2)</f>
        <v>0</v>
      </c>
      <c r="K64" s="25" t="s">
        <v>56</v>
      </c>
      <c r="Z64" s="24">
        <f>ROUND(IF(AQ64="5",BJ64,0),2)</f>
        <v>0</v>
      </c>
      <c r="AB64" s="24">
        <f>ROUND(IF(AQ64="1",BH64,0),2)</f>
        <v>0</v>
      </c>
      <c r="AC64" s="24">
        <f>ROUND(IF(AQ64="1",BI64,0),2)</f>
        <v>0</v>
      </c>
      <c r="AD64" s="24">
        <f>ROUND(IF(AQ64="7",BH64,0),2)</f>
        <v>0</v>
      </c>
      <c r="AE64" s="24">
        <f>ROUND(IF(AQ64="7",BI64,0),2)</f>
        <v>0</v>
      </c>
      <c r="AF64" s="24">
        <f>ROUND(IF(AQ64="2",BH64,0),2)</f>
        <v>0</v>
      </c>
      <c r="AG64" s="24">
        <f>ROUND(IF(AQ64="2",BI64,0),2)</f>
        <v>0</v>
      </c>
      <c r="AH64" s="24">
        <f>ROUND(IF(AQ64="0",BJ64,0),2)</f>
        <v>0</v>
      </c>
      <c r="AI64" s="10" t="s">
        <v>49</v>
      </c>
      <c r="AJ64" s="24">
        <f>IF(AN64=0,J64,0)</f>
        <v>0</v>
      </c>
      <c r="AK64" s="24">
        <f>IF(AN64=12,J64,0)</f>
        <v>0</v>
      </c>
      <c r="AL64" s="24">
        <f>IF(AN64=21,J64,0)</f>
        <v>0</v>
      </c>
      <c r="AN64" s="24">
        <v>12</v>
      </c>
      <c r="AO64" s="24">
        <f>G64*0</f>
        <v>0</v>
      </c>
      <c r="AP64" s="24">
        <f>G64*(1-0)</f>
        <v>0</v>
      </c>
      <c r="AQ64" s="26" t="s">
        <v>74</v>
      </c>
      <c r="AV64" s="24">
        <f>ROUND(AW64+AX64,2)</f>
        <v>0</v>
      </c>
      <c r="AW64" s="24">
        <f>ROUND(F64*AO64,2)</f>
        <v>0</v>
      </c>
      <c r="AX64" s="24">
        <f>ROUND(F64*AP64,2)</f>
        <v>0</v>
      </c>
      <c r="AY64" s="26" t="s">
        <v>115</v>
      </c>
      <c r="AZ64" s="26" t="s">
        <v>116</v>
      </c>
      <c r="BA64" s="10" t="s">
        <v>59</v>
      </c>
      <c r="BC64" s="24">
        <f>AW64+AX64</f>
        <v>0</v>
      </c>
      <c r="BD64" s="24">
        <f>G64/(100-BE64)*100</f>
        <v>0</v>
      </c>
      <c r="BE64" s="24">
        <v>0</v>
      </c>
      <c r="BF64" s="24">
        <f>64</f>
        <v>64</v>
      </c>
      <c r="BH64" s="24">
        <f>F64*AO64</f>
        <v>0</v>
      </c>
      <c r="BI64" s="24">
        <f>F64*AP64</f>
        <v>0</v>
      </c>
      <c r="BJ64" s="24">
        <f>F64*G64</f>
        <v>0</v>
      </c>
      <c r="BK64" s="24"/>
      <c r="BL64" s="24">
        <v>762</v>
      </c>
      <c r="BW64" s="24">
        <v>12</v>
      </c>
      <c r="BX64" s="4" t="s">
        <v>171</v>
      </c>
    </row>
    <row r="65" spans="1:76" ht="26.4" x14ac:dyDescent="0.3">
      <c r="A65" s="27"/>
      <c r="B65" s="28" t="s">
        <v>63</v>
      </c>
      <c r="C65" s="95" t="s">
        <v>172</v>
      </c>
      <c r="D65" s="96"/>
      <c r="E65" s="96"/>
      <c r="F65" s="96"/>
      <c r="G65" s="96"/>
      <c r="H65" s="96"/>
      <c r="I65" s="96"/>
      <c r="J65" s="96"/>
      <c r="K65" s="97"/>
      <c r="BX65" s="29" t="s">
        <v>172</v>
      </c>
    </row>
    <row r="66" spans="1:76" ht="14.4" x14ac:dyDescent="0.3">
      <c r="A66" s="2" t="s">
        <v>173</v>
      </c>
      <c r="B66" s="3" t="s">
        <v>170</v>
      </c>
      <c r="C66" s="89" t="s">
        <v>174</v>
      </c>
      <c r="D66" s="90"/>
      <c r="E66" s="3" t="s">
        <v>55</v>
      </c>
      <c r="F66" s="24">
        <v>720</v>
      </c>
      <c r="G66" s="24">
        <v>0</v>
      </c>
      <c r="H66" s="24">
        <f>ROUND(F66*AO66,2)</f>
        <v>0</v>
      </c>
      <c r="I66" s="24">
        <f>ROUND(F66*AP66,2)</f>
        <v>0</v>
      </c>
      <c r="J66" s="24">
        <f>ROUND(F66*G66,2)</f>
        <v>0</v>
      </c>
      <c r="K66" s="25" t="s">
        <v>56</v>
      </c>
      <c r="Z66" s="24">
        <f>ROUND(IF(AQ66="5",BJ66,0),2)</f>
        <v>0</v>
      </c>
      <c r="AB66" s="24">
        <f>ROUND(IF(AQ66="1",BH66,0),2)</f>
        <v>0</v>
      </c>
      <c r="AC66" s="24">
        <f>ROUND(IF(AQ66="1",BI66,0),2)</f>
        <v>0</v>
      </c>
      <c r="AD66" s="24">
        <f>ROUND(IF(AQ66="7",BH66,0),2)</f>
        <v>0</v>
      </c>
      <c r="AE66" s="24">
        <f>ROUND(IF(AQ66="7",BI66,0),2)</f>
        <v>0</v>
      </c>
      <c r="AF66" s="24">
        <f>ROUND(IF(AQ66="2",BH66,0),2)</f>
        <v>0</v>
      </c>
      <c r="AG66" s="24">
        <f>ROUND(IF(AQ66="2",BI66,0),2)</f>
        <v>0</v>
      </c>
      <c r="AH66" s="24">
        <f>ROUND(IF(AQ66="0",BJ66,0),2)</f>
        <v>0</v>
      </c>
      <c r="AI66" s="10" t="s">
        <v>49</v>
      </c>
      <c r="AJ66" s="24">
        <f>IF(AN66=0,J66,0)</f>
        <v>0</v>
      </c>
      <c r="AK66" s="24">
        <f>IF(AN66=12,J66,0)</f>
        <v>0</v>
      </c>
      <c r="AL66" s="24">
        <f>IF(AN66=21,J66,0)</f>
        <v>0</v>
      </c>
      <c r="AN66" s="24">
        <v>12</v>
      </c>
      <c r="AO66" s="24">
        <f>G66*0</f>
        <v>0</v>
      </c>
      <c r="AP66" s="24">
        <f>G66*(1-0)</f>
        <v>0</v>
      </c>
      <c r="AQ66" s="26" t="s">
        <v>74</v>
      </c>
      <c r="AV66" s="24">
        <f>ROUND(AW66+AX66,2)</f>
        <v>0</v>
      </c>
      <c r="AW66" s="24">
        <f>ROUND(F66*AO66,2)</f>
        <v>0</v>
      </c>
      <c r="AX66" s="24">
        <f>ROUND(F66*AP66,2)</f>
        <v>0</v>
      </c>
      <c r="AY66" s="26" t="s">
        <v>115</v>
      </c>
      <c r="AZ66" s="26" t="s">
        <v>116</v>
      </c>
      <c r="BA66" s="10" t="s">
        <v>59</v>
      </c>
      <c r="BC66" s="24">
        <f>AW66+AX66</f>
        <v>0</v>
      </c>
      <c r="BD66" s="24">
        <f>G66/(100-BE66)*100</f>
        <v>0</v>
      </c>
      <c r="BE66" s="24">
        <v>0</v>
      </c>
      <c r="BF66" s="24">
        <f>66</f>
        <v>66</v>
      </c>
      <c r="BH66" s="24">
        <f>F66*AO66</f>
        <v>0</v>
      </c>
      <c r="BI66" s="24">
        <f>F66*AP66</f>
        <v>0</v>
      </c>
      <c r="BJ66" s="24">
        <f>F66*G66</f>
        <v>0</v>
      </c>
      <c r="BK66" s="24"/>
      <c r="BL66" s="24">
        <v>762</v>
      </c>
      <c r="BW66" s="24">
        <v>12</v>
      </c>
      <c r="BX66" s="4" t="s">
        <v>174</v>
      </c>
    </row>
    <row r="67" spans="1:76" ht="26.4" x14ac:dyDescent="0.3">
      <c r="A67" s="27"/>
      <c r="B67" s="28" t="s">
        <v>63</v>
      </c>
      <c r="C67" s="95" t="s">
        <v>172</v>
      </c>
      <c r="D67" s="96"/>
      <c r="E67" s="96"/>
      <c r="F67" s="96"/>
      <c r="G67" s="96"/>
      <c r="H67" s="96"/>
      <c r="I67" s="96"/>
      <c r="J67" s="96"/>
      <c r="K67" s="97"/>
      <c r="BX67" s="29" t="s">
        <v>172</v>
      </c>
    </row>
    <row r="68" spans="1:76" ht="14.4" x14ac:dyDescent="0.3">
      <c r="A68" s="2" t="s">
        <v>175</v>
      </c>
      <c r="B68" s="3" t="s">
        <v>176</v>
      </c>
      <c r="C68" s="89" t="s">
        <v>177</v>
      </c>
      <c r="D68" s="90"/>
      <c r="E68" s="3" t="s">
        <v>55</v>
      </c>
      <c r="F68" s="24">
        <v>1.5</v>
      </c>
      <c r="G68" s="24">
        <v>0</v>
      </c>
      <c r="H68" s="24">
        <f>ROUND(F68*AO68,2)</f>
        <v>0</v>
      </c>
      <c r="I68" s="24">
        <f>ROUND(F68*AP68,2)</f>
        <v>0</v>
      </c>
      <c r="J68" s="24">
        <f>ROUND(F68*G68,2)</f>
        <v>0</v>
      </c>
      <c r="K68" s="25" t="s">
        <v>56</v>
      </c>
      <c r="Z68" s="24">
        <f>ROUND(IF(AQ68="5",BJ68,0),2)</f>
        <v>0</v>
      </c>
      <c r="AB68" s="24">
        <f>ROUND(IF(AQ68="1",BH68,0),2)</f>
        <v>0</v>
      </c>
      <c r="AC68" s="24">
        <f>ROUND(IF(AQ68="1",BI68,0),2)</f>
        <v>0</v>
      </c>
      <c r="AD68" s="24">
        <f>ROUND(IF(AQ68="7",BH68,0),2)</f>
        <v>0</v>
      </c>
      <c r="AE68" s="24">
        <f>ROUND(IF(AQ68="7",BI68,0),2)</f>
        <v>0</v>
      </c>
      <c r="AF68" s="24">
        <f>ROUND(IF(AQ68="2",BH68,0),2)</f>
        <v>0</v>
      </c>
      <c r="AG68" s="24">
        <f>ROUND(IF(AQ68="2",BI68,0),2)</f>
        <v>0</v>
      </c>
      <c r="AH68" s="24">
        <f>ROUND(IF(AQ68="0",BJ68,0),2)</f>
        <v>0</v>
      </c>
      <c r="AI68" s="10" t="s">
        <v>49</v>
      </c>
      <c r="AJ68" s="24">
        <f>IF(AN68=0,J68,0)</f>
        <v>0</v>
      </c>
      <c r="AK68" s="24">
        <f>IF(AN68=12,J68,0)</f>
        <v>0</v>
      </c>
      <c r="AL68" s="24">
        <f>IF(AN68=21,J68,0)</f>
        <v>0</v>
      </c>
      <c r="AN68" s="24">
        <v>12</v>
      </c>
      <c r="AO68" s="24">
        <f>G68*0.005888749</f>
        <v>0</v>
      </c>
      <c r="AP68" s="24">
        <f>G68*(1-0.005888749)</f>
        <v>0</v>
      </c>
      <c r="AQ68" s="26" t="s">
        <v>74</v>
      </c>
      <c r="AV68" s="24">
        <f>ROUND(AW68+AX68,2)</f>
        <v>0</v>
      </c>
      <c r="AW68" s="24">
        <f>ROUND(F68*AO68,2)</f>
        <v>0</v>
      </c>
      <c r="AX68" s="24">
        <f>ROUND(F68*AP68,2)</f>
        <v>0</v>
      </c>
      <c r="AY68" s="26" t="s">
        <v>115</v>
      </c>
      <c r="AZ68" s="26" t="s">
        <v>116</v>
      </c>
      <c r="BA68" s="10" t="s">
        <v>59</v>
      </c>
      <c r="BC68" s="24">
        <f>AW68+AX68</f>
        <v>0</v>
      </c>
      <c r="BD68" s="24">
        <f>G68/(100-BE68)*100</f>
        <v>0</v>
      </c>
      <c r="BE68" s="24">
        <v>0</v>
      </c>
      <c r="BF68" s="24">
        <f>68</f>
        <v>68</v>
      </c>
      <c r="BH68" s="24">
        <f>F68*AO68</f>
        <v>0</v>
      </c>
      <c r="BI68" s="24">
        <f>F68*AP68</f>
        <v>0</v>
      </c>
      <c r="BJ68" s="24">
        <f>F68*G68</f>
        <v>0</v>
      </c>
      <c r="BK68" s="24"/>
      <c r="BL68" s="24">
        <v>762</v>
      </c>
      <c r="BW68" s="24">
        <v>12</v>
      </c>
      <c r="BX68" s="4" t="s">
        <v>177</v>
      </c>
    </row>
    <row r="69" spans="1:76" ht="14.4" x14ac:dyDescent="0.3">
      <c r="A69" s="27"/>
      <c r="B69" s="28" t="s">
        <v>63</v>
      </c>
      <c r="C69" s="95" t="s">
        <v>178</v>
      </c>
      <c r="D69" s="96"/>
      <c r="E69" s="96"/>
      <c r="F69" s="96"/>
      <c r="G69" s="96"/>
      <c r="H69" s="96"/>
      <c r="I69" s="96"/>
      <c r="J69" s="96"/>
      <c r="K69" s="97"/>
      <c r="BX69" s="29" t="s">
        <v>178</v>
      </c>
    </row>
    <row r="70" spans="1:76" ht="14.4" x14ac:dyDescent="0.3">
      <c r="A70" s="2" t="s">
        <v>179</v>
      </c>
      <c r="B70" s="3" t="s">
        <v>180</v>
      </c>
      <c r="C70" s="89" t="s">
        <v>740</v>
      </c>
      <c r="D70" s="90"/>
      <c r="E70" s="3" t="s">
        <v>55</v>
      </c>
      <c r="F70" s="24">
        <v>28</v>
      </c>
      <c r="G70" s="24">
        <v>0</v>
      </c>
      <c r="H70" s="24">
        <f>ROUND(F70*AO70,2)</f>
        <v>0</v>
      </c>
      <c r="I70" s="24">
        <f>ROUND(F70*AP70,2)</f>
        <v>0</v>
      </c>
      <c r="J70" s="24">
        <f>ROUND(F70*G70,2)</f>
        <v>0</v>
      </c>
      <c r="K70" s="25" t="s">
        <v>56</v>
      </c>
      <c r="Z70" s="24">
        <f>ROUND(IF(AQ70="5",BJ70,0),2)</f>
        <v>0</v>
      </c>
      <c r="AB70" s="24">
        <f>ROUND(IF(AQ70="1",BH70,0),2)</f>
        <v>0</v>
      </c>
      <c r="AC70" s="24">
        <f>ROUND(IF(AQ70="1",BI70,0),2)</f>
        <v>0</v>
      </c>
      <c r="AD70" s="24">
        <f>ROUND(IF(AQ70="7",BH70,0),2)</f>
        <v>0</v>
      </c>
      <c r="AE70" s="24">
        <f>ROUND(IF(AQ70="7",BI70,0),2)</f>
        <v>0</v>
      </c>
      <c r="AF70" s="24">
        <f>ROUND(IF(AQ70="2",BH70,0),2)</f>
        <v>0</v>
      </c>
      <c r="AG70" s="24">
        <f>ROUND(IF(AQ70="2",BI70,0),2)</f>
        <v>0</v>
      </c>
      <c r="AH70" s="24">
        <f>ROUND(IF(AQ70="0",BJ70,0),2)</f>
        <v>0</v>
      </c>
      <c r="AI70" s="10" t="s">
        <v>49</v>
      </c>
      <c r="AJ70" s="24">
        <f>IF(AN70=0,J70,0)</f>
        <v>0</v>
      </c>
      <c r="AK70" s="24">
        <f>IF(AN70=12,J70,0)</f>
        <v>0</v>
      </c>
      <c r="AL70" s="24">
        <f>IF(AN70=21,J70,0)</f>
        <v>0</v>
      </c>
      <c r="AN70" s="24">
        <v>12</v>
      </c>
      <c r="AO70" s="24">
        <f>G70*0.298832455</f>
        <v>0</v>
      </c>
      <c r="AP70" s="24">
        <f>G70*(1-0.298832455)</f>
        <v>0</v>
      </c>
      <c r="AQ70" s="26" t="s">
        <v>74</v>
      </c>
      <c r="AV70" s="24">
        <f>ROUND(AW70+AX70,2)</f>
        <v>0</v>
      </c>
      <c r="AW70" s="24">
        <f>ROUND(F70*AO70,2)</f>
        <v>0</v>
      </c>
      <c r="AX70" s="24">
        <f>ROUND(F70*AP70,2)</f>
        <v>0</v>
      </c>
      <c r="AY70" s="26" t="s">
        <v>115</v>
      </c>
      <c r="AZ70" s="26" t="s">
        <v>116</v>
      </c>
      <c r="BA70" s="10" t="s">
        <v>59</v>
      </c>
      <c r="BC70" s="24">
        <f>AW70+AX70</f>
        <v>0</v>
      </c>
      <c r="BD70" s="24">
        <f>G70/(100-BE70)*100</f>
        <v>0</v>
      </c>
      <c r="BE70" s="24">
        <v>0</v>
      </c>
      <c r="BF70" s="24">
        <f>70</f>
        <v>70</v>
      </c>
      <c r="BH70" s="24">
        <f>F70*AO70</f>
        <v>0</v>
      </c>
      <c r="BI70" s="24">
        <f>F70*AP70</f>
        <v>0</v>
      </c>
      <c r="BJ70" s="24">
        <f>F70*G70</f>
        <v>0</v>
      </c>
      <c r="BK70" s="24"/>
      <c r="BL70" s="24">
        <v>762</v>
      </c>
      <c r="BW70" s="24">
        <v>12</v>
      </c>
      <c r="BX70" s="4" t="s">
        <v>181</v>
      </c>
    </row>
    <row r="71" spans="1:76" ht="13.5" customHeight="1" x14ac:dyDescent="0.3">
      <c r="A71" s="27"/>
      <c r="B71" s="28" t="s">
        <v>86</v>
      </c>
      <c r="C71" s="95" t="s">
        <v>182</v>
      </c>
      <c r="D71" s="96"/>
      <c r="E71" s="96"/>
      <c r="F71" s="96"/>
      <c r="G71" s="96"/>
      <c r="H71" s="96"/>
      <c r="I71" s="96"/>
      <c r="J71" s="96"/>
      <c r="K71" s="97"/>
    </row>
    <row r="72" spans="1:76" ht="14.4" x14ac:dyDescent="0.3">
      <c r="A72" s="2" t="s">
        <v>183</v>
      </c>
      <c r="B72" s="3" t="s">
        <v>184</v>
      </c>
      <c r="C72" s="89" t="s">
        <v>185</v>
      </c>
      <c r="D72" s="90"/>
      <c r="E72" s="3" t="s">
        <v>55</v>
      </c>
      <c r="F72" s="24">
        <v>21</v>
      </c>
      <c r="G72" s="24">
        <v>0</v>
      </c>
      <c r="H72" s="24">
        <f>ROUND(F72*AO72,2)</f>
        <v>0</v>
      </c>
      <c r="I72" s="24">
        <f>ROUND(F72*AP72,2)</f>
        <v>0</v>
      </c>
      <c r="J72" s="24">
        <f>ROUND(F72*G72,2)</f>
        <v>0</v>
      </c>
      <c r="K72" s="25" t="s">
        <v>56</v>
      </c>
      <c r="Z72" s="24">
        <f>ROUND(IF(AQ72="5",BJ72,0),2)</f>
        <v>0</v>
      </c>
      <c r="AB72" s="24">
        <f>ROUND(IF(AQ72="1",BH72,0),2)</f>
        <v>0</v>
      </c>
      <c r="AC72" s="24">
        <f>ROUND(IF(AQ72="1",BI72,0),2)</f>
        <v>0</v>
      </c>
      <c r="AD72" s="24">
        <f>ROUND(IF(AQ72="7",BH72,0),2)</f>
        <v>0</v>
      </c>
      <c r="AE72" s="24">
        <f>ROUND(IF(AQ72="7",BI72,0),2)</f>
        <v>0</v>
      </c>
      <c r="AF72" s="24">
        <f>ROUND(IF(AQ72="2",BH72,0),2)</f>
        <v>0</v>
      </c>
      <c r="AG72" s="24">
        <f>ROUND(IF(AQ72="2",BI72,0),2)</f>
        <v>0</v>
      </c>
      <c r="AH72" s="24">
        <f>ROUND(IF(AQ72="0",BJ72,0),2)</f>
        <v>0</v>
      </c>
      <c r="AI72" s="10" t="s">
        <v>49</v>
      </c>
      <c r="AJ72" s="24">
        <f>IF(AN72=0,J72,0)</f>
        <v>0</v>
      </c>
      <c r="AK72" s="24">
        <f>IF(AN72=12,J72,0)</f>
        <v>0</v>
      </c>
      <c r="AL72" s="24">
        <f>IF(AN72=21,J72,0)</f>
        <v>0</v>
      </c>
      <c r="AN72" s="24">
        <v>12</v>
      </c>
      <c r="AO72" s="24">
        <f>G72*0.275102041</f>
        <v>0</v>
      </c>
      <c r="AP72" s="24">
        <f>G72*(1-0.275102041)</f>
        <v>0</v>
      </c>
      <c r="AQ72" s="26" t="s">
        <v>74</v>
      </c>
      <c r="AV72" s="24">
        <f>ROUND(AW72+AX72,2)</f>
        <v>0</v>
      </c>
      <c r="AW72" s="24">
        <f>ROUND(F72*AO72,2)</f>
        <v>0</v>
      </c>
      <c r="AX72" s="24">
        <f>ROUND(F72*AP72,2)</f>
        <v>0</v>
      </c>
      <c r="AY72" s="26" t="s">
        <v>115</v>
      </c>
      <c r="AZ72" s="26" t="s">
        <v>116</v>
      </c>
      <c r="BA72" s="10" t="s">
        <v>59</v>
      </c>
      <c r="BC72" s="24">
        <f>AW72+AX72</f>
        <v>0</v>
      </c>
      <c r="BD72" s="24">
        <f>G72/(100-BE72)*100</f>
        <v>0</v>
      </c>
      <c r="BE72" s="24">
        <v>0</v>
      </c>
      <c r="BF72" s="24">
        <f>72</f>
        <v>72</v>
      </c>
      <c r="BH72" s="24">
        <f>F72*AO72</f>
        <v>0</v>
      </c>
      <c r="BI72" s="24">
        <f>F72*AP72</f>
        <v>0</v>
      </c>
      <c r="BJ72" s="24">
        <f>F72*G72</f>
        <v>0</v>
      </c>
      <c r="BK72" s="24"/>
      <c r="BL72" s="24">
        <v>762</v>
      </c>
      <c r="BW72" s="24">
        <v>12</v>
      </c>
      <c r="BX72" s="4" t="s">
        <v>185</v>
      </c>
    </row>
    <row r="73" spans="1:76" ht="13.5" customHeight="1" x14ac:dyDescent="0.3">
      <c r="A73" s="27"/>
      <c r="B73" s="28" t="s">
        <v>86</v>
      </c>
      <c r="C73" s="95" t="s">
        <v>182</v>
      </c>
      <c r="D73" s="96"/>
      <c r="E73" s="96"/>
      <c r="F73" s="96"/>
      <c r="G73" s="96"/>
      <c r="H73" s="96"/>
      <c r="I73" s="96"/>
      <c r="J73" s="96"/>
      <c r="K73" s="97"/>
    </row>
    <row r="74" spans="1:76" ht="14.4" x14ac:dyDescent="0.3">
      <c r="A74" s="2" t="s">
        <v>186</v>
      </c>
      <c r="B74" s="3" t="s">
        <v>187</v>
      </c>
      <c r="C74" s="89" t="s">
        <v>188</v>
      </c>
      <c r="D74" s="90"/>
      <c r="E74" s="3" t="s">
        <v>102</v>
      </c>
      <c r="F74" s="24">
        <v>1030</v>
      </c>
      <c r="G74" s="24">
        <v>0</v>
      </c>
      <c r="H74" s="24">
        <f>ROUND(F74*AO74,2)</f>
        <v>0</v>
      </c>
      <c r="I74" s="24">
        <f>ROUND(F74*AP74,2)</f>
        <v>0</v>
      </c>
      <c r="J74" s="24">
        <f>ROUND(F74*G74,2)</f>
        <v>0</v>
      </c>
      <c r="K74" s="25" t="s">
        <v>56</v>
      </c>
      <c r="Z74" s="24">
        <f>ROUND(IF(AQ74="5",BJ74,0),2)</f>
        <v>0</v>
      </c>
      <c r="AB74" s="24">
        <f>ROUND(IF(AQ74="1",BH74,0),2)</f>
        <v>0</v>
      </c>
      <c r="AC74" s="24">
        <f>ROUND(IF(AQ74="1",BI74,0),2)</f>
        <v>0</v>
      </c>
      <c r="AD74" s="24">
        <f>ROUND(IF(AQ74="7",BH74,0),2)</f>
        <v>0</v>
      </c>
      <c r="AE74" s="24">
        <f>ROUND(IF(AQ74="7",BI74,0),2)</f>
        <v>0</v>
      </c>
      <c r="AF74" s="24">
        <f>ROUND(IF(AQ74="2",BH74,0),2)</f>
        <v>0</v>
      </c>
      <c r="AG74" s="24">
        <f>ROUND(IF(AQ74="2",BI74,0),2)</f>
        <v>0</v>
      </c>
      <c r="AH74" s="24">
        <f>ROUND(IF(AQ74="0",BJ74,0),2)</f>
        <v>0</v>
      </c>
      <c r="AI74" s="10" t="s">
        <v>49</v>
      </c>
      <c r="AJ74" s="24">
        <f>IF(AN74=0,J74,0)</f>
        <v>0</v>
      </c>
      <c r="AK74" s="24">
        <f>IF(AN74=12,J74,0)</f>
        <v>0</v>
      </c>
      <c r="AL74" s="24">
        <f>IF(AN74=21,J74,0)</f>
        <v>0</v>
      </c>
      <c r="AN74" s="24">
        <v>12</v>
      </c>
      <c r="AO74" s="24">
        <f>G74*0.85236036</f>
        <v>0</v>
      </c>
      <c r="AP74" s="24">
        <f>G74*(1-0.85236036)</f>
        <v>0</v>
      </c>
      <c r="AQ74" s="26" t="s">
        <v>74</v>
      </c>
      <c r="AV74" s="24">
        <f>ROUND(AW74+AX74,2)</f>
        <v>0</v>
      </c>
      <c r="AW74" s="24">
        <f>ROUND(F74*AO74,2)</f>
        <v>0</v>
      </c>
      <c r="AX74" s="24">
        <f>ROUND(F74*AP74,2)</f>
        <v>0</v>
      </c>
      <c r="AY74" s="26" t="s">
        <v>115</v>
      </c>
      <c r="AZ74" s="26" t="s">
        <v>116</v>
      </c>
      <c r="BA74" s="10" t="s">
        <v>59</v>
      </c>
      <c r="BC74" s="24">
        <f>AW74+AX74</f>
        <v>0</v>
      </c>
      <c r="BD74" s="24">
        <f>G74/(100-BE74)*100</f>
        <v>0</v>
      </c>
      <c r="BE74" s="24">
        <v>0</v>
      </c>
      <c r="BF74" s="24">
        <f>74</f>
        <v>74</v>
      </c>
      <c r="BH74" s="24">
        <f>F74*AO74</f>
        <v>0</v>
      </c>
      <c r="BI74" s="24">
        <f>F74*AP74</f>
        <v>0</v>
      </c>
      <c r="BJ74" s="24">
        <f>F74*G74</f>
        <v>0</v>
      </c>
      <c r="BK74" s="24"/>
      <c r="BL74" s="24">
        <v>762</v>
      </c>
      <c r="BW74" s="24">
        <v>12</v>
      </c>
      <c r="BX74" s="4" t="s">
        <v>188</v>
      </c>
    </row>
    <row r="75" spans="1:76" ht="14.4" x14ac:dyDescent="0.3">
      <c r="A75" s="2" t="s">
        <v>189</v>
      </c>
      <c r="B75" s="3" t="s">
        <v>187</v>
      </c>
      <c r="C75" s="89" t="s">
        <v>190</v>
      </c>
      <c r="D75" s="90"/>
      <c r="E75" s="3" t="s">
        <v>102</v>
      </c>
      <c r="F75" s="24">
        <v>55</v>
      </c>
      <c r="G75" s="24">
        <v>0</v>
      </c>
      <c r="H75" s="24">
        <f>ROUND(F75*AO75,2)</f>
        <v>0</v>
      </c>
      <c r="I75" s="24">
        <f>ROUND(F75*AP75,2)</f>
        <v>0</v>
      </c>
      <c r="J75" s="24">
        <f>ROUND(F75*G75,2)</f>
        <v>0</v>
      </c>
      <c r="K75" s="25" t="s">
        <v>56</v>
      </c>
      <c r="Z75" s="24">
        <f>ROUND(IF(AQ75="5",BJ75,0),2)</f>
        <v>0</v>
      </c>
      <c r="AB75" s="24">
        <f>ROUND(IF(AQ75="1",BH75,0),2)</f>
        <v>0</v>
      </c>
      <c r="AC75" s="24">
        <f>ROUND(IF(AQ75="1",BI75,0),2)</f>
        <v>0</v>
      </c>
      <c r="AD75" s="24">
        <f>ROUND(IF(AQ75="7",BH75,0),2)</f>
        <v>0</v>
      </c>
      <c r="AE75" s="24">
        <f>ROUND(IF(AQ75="7",BI75,0),2)</f>
        <v>0</v>
      </c>
      <c r="AF75" s="24">
        <f>ROUND(IF(AQ75="2",BH75,0),2)</f>
        <v>0</v>
      </c>
      <c r="AG75" s="24">
        <f>ROUND(IF(AQ75="2",BI75,0),2)</f>
        <v>0</v>
      </c>
      <c r="AH75" s="24">
        <f>ROUND(IF(AQ75="0",BJ75,0),2)</f>
        <v>0</v>
      </c>
      <c r="AI75" s="10" t="s">
        <v>49</v>
      </c>
      <c r="AJ75" s="24">
        <f>IF(AN75=0,J75,0)</f>
        <v>0</v>
      </c>
      <c r="AK75" s="24">
        <f>IF(AN75=12,J75,0)</f>
        <v>0</v>
      </c>
      <c r="AL75" s="24">
        <f>IF(AN75=21,J75,0)</f>
        <v>0</v>
      </c>
      <c r="AN75" s="24">
        <v>12</v>
      </c>
      <c r="AO75" s="24">
        <f>G75*0.85236036</f>
        <v>0</v>
      </c>
      <c r="AP75" s="24">
        <f>G75*(1-0.85236036)</f>
        <v>0</v>
      </c>
      <c r="AQ75" s="26" t="s">
        <v>74</v>
      </c>
      <c r="AV75" s="24">
        <f>ROUND(AW75+AX75,2)</f>
        <v>0</v>
      </c>
      <c r="AW75" s="24">
        <f>ROUND(F75*AO75,2)</f>
        <v>0</v>
      </c>
      <c r="AX75" s="24">
        <f>ROUND(F75*AP75,2)</f>
        <v>0</v>
      </c>
      <c r="AY75" s="26" t="s">
        <v>115</v>
      </c>
      <c r="AZ75" s="26" t="s">
        <v>116</v>
      </c>
      <c r="BA75" s="10" t="s">
        <v>59</v>
      </c>
      <c r="BC75" s="24">
        <f>AW75+AX75</f>
        <v>0</v>
      </c>
      <c r="BD75" s="24">
        <f>G75/(100-BE75)*100</f>
        <v>0</v>
      </c>
      <c r="BE75" s="24">
        <v>0</v>
      </c>
      <c r="BF75" s="24">
        <f>75</f>
        <v>75</v>
      </c>
      <c r="BH75" s="24">
        <f>F75*AO75</f>
        <v>0</v>
      </c>
      <c r="BI75" s="24">
        <f>F75*AP75</f>
        <v>0</v>
      </c>
      <c r="BJ75" s="24">
        <f>F75*G75</f>
        <v>0</v>
      </c>
      <c r="BK75" s="24"/>
      <c r="BL75" s="24">
        <v>762</v>
      </c>
      <c r="BW75" s="24">
        <v>12</v>
      </c>
      <c r="BX75" s="4" t="s">
        <v>190</v>
      </c>
    </row>
    <row r="76" spans="1:76" ht="14.4" x14ac:dyDescent="0.3">
      <c r="A76" s="2" t="s">
        <v>191</v>
      </c>
      <c r="B76" s="3" t="s">
        <v>192</v>
      </c>
      <c r="C76" s="89" t="s">
        <v>193</v>
      </c>
      <c r="D76" s="90"/>
      <c r="E76" s="3" t="s">
        <v>55</v>
      </c>
      <c r="F76" s="24">
        <v>125</v>
      </c>
      <c r="G76" s="24">
        <v>0</v>
      </c>
      <c r="H76" s="24">
        <f>ROUND(F76*AO76,2)</f>
        <v>0</v>
      </c>
      <c r="I76" s="24">
        <f>ROUND(F76*AP76,2)</f>
        <v>0</v>
      </c>
      <c r="J76" s="24">
        <f>ROUND(F76*G76,2)</f>
        <v>0</v>
      </c>
      <c r="K76" s="25" t="s">
        <v>56</v>
      </c>
      <c r="Z76" s="24">
        <f>ROUND(IF(AQ76="5",BJ76,0),2)</f>
        <v>0</v>
      </c>
      <c r="AB76" s="24">
        <f>ROUND(IF(AQ76="1",BH76,0),2)</f>
        <v>0</v>
      </c>
      <c r="AC76" s="24">
        <f>ROUND(IF(AQ76="1",BI76,0),2)</f>
        <v>0</v>
      </c>
      <c r="AD76" s="24">
        <f>ROUND(IF(AQ76="7",BH76,0),2)</f>
        <v>0</v>
      </c>
      <c r="AE76" s="24">
        <f>ROUND(IF(AQ76="7",BI76,0),2)</f>
        <v>0</v>
      </c>
      <c r="AF76" s="24">
        <f>ROUND(IF(AQ76="2",BH76,0),2)</f>
        <v>0</v>
      </c>
      <c r="AG76" s="24">
        <f>ROUND(IF(AQ76="2",BI76,0),2)</f>
        <v>0</v>
      </c>
      <c r="AH76" s="24">
        <f>ROUND(IF(AQ76="0",BJ76,0),2)</f>
        <v>0</v>
      </c>
      <c r="AI76" s="10" t="s">
        <v>49</v>
      </c>
      <c r="AJ76" s="24">
        <f>IF(AN76=0,J76,0)</f>
        <v>0</v>
      </c>
      <c r="AK76" s="24">
        <f>IF(AN76=12,J76,0)</f>
        <v>0</v>
      </c>
      <c r="AL76" s="24">
        <f>IF(AN76=21,J76,0)</f>
        <v>0</v>
      </c>
      <c r="AN76" s="24">
        <v>12</v>
      </c>
      <c r="AO76" s="24">
        <f>G76*0</f>
        <v>0</v>
      </c>
      <c r="AP76" s="24">
        <f>G76*(1-0)</f>
        <v>0</v>
      </c>
      <c r="AQ76" s="26" t="s">
        <v>74</v>
      </c>
      <c r="AV76" s="24">
        <f>ROUND(AW76+AX76,2)</f>
        <v>0</v>
      </c>
      <c r="AW76" s="24">
        <f>ROUND(F76*AO76,2)</f>
        <v>0</v>
      </c>
      <c r="AX76" s="24">
        <f>ROUND(F76*AP76,2)</f>
        <v>0</v>
      </c>
      <c r="AY76" s="26" t="s">
        <v>115</v>
      </c>
      <c r="AZ76" s="26" t="s">
        <v>116</v>
      </c>
      <c r="BA76" s="10" t="s">
        <v>59</v>
      </c>
      <c r="BC76" s="24">
        <f>AW76+AX76</f>
        <v>0</v>
      </c>
      <c r="BD76" s="24">
        <f>G76/(100-BE76)*100</f>
        <v>0</v>
      </c>
      <c r="BE76" s="24">
        <v>0</v>
      </c>
      <c r="BF76" s="24">
        <f>76</f>
        <v>76</v>
      </c>
      <c r="BH76" s="24">
        <f>F76*AO76</f>
        <v>0</v>
      </c>
      <c r="BI76" s="24">
        <f>F76*AP76</f>
        <v>0</v>
      </c>
      <c r="BJ76" s="24">
        <f>F76*G76</f>
        <v>0</v>
      </c>
      <c r="BK76" s="24"/>
      <c r="BL76" s="24">
        <v>762</v>
      </c>
      <c r="BW76" s="24">
        <v>12</v>
      </c>
      <c r="BX76" s="4" t="s">
        <v>193</v>
      </c>
    </row>
    <row r="77" spans="1:76" ht="14.4" x14ac:dyDescent="0.3">
      <c r="A77" s="2" t="s">
        <v>194</v>
      </c>
      <c r="B77" s="3" t="s">
        <v>195</v>
      </c>
      <c r="C77" s="89" t="s">
        <v>196</v>
      </c>
      <c r="D77" s="90"/>
      <c r="E77" s="3" t="s">
        <v>55</v>
      </c>
      <c r="F77" s="24">
        <v>45</v>
      </c>
      <c r="G77" s="24">
        <v>0</v>
      </c>
      <c r="H77" s="24">
        <f>ROUND(F77*AO77,2)</f>
        <v>0</v>
      </c>
      <c r="I77" s="24">
        <f>ROUND(F77*AP77,2)</f>
        <v>0</v>
      </c>
      <c r="J77" s="24">
        <f>ROUND(F77*G77,2)</f>
        <v>0</v>
      </c>
      <c r="K77" s="25" t="s">
        <v>56</v>
      </c>
      <c r="Z77" s="24">
        <f>ROUND(IF(AQ77="5",BJ77,0),2)</f>
        <v>0</v>
      </c>
      <c r="AB77" s="24">
        <f>ROUND(IF(AQ77="1",BH77,0),2)</f>
        <v>0</v>
      </c>
      <c r="AC77" s="24">
        <f>ROUND(IF(AQ77="1",BI77,0),2)</f>
        <v>0</v>
      </c>
      <c r="AD77" s="24">
        <f>ROUND(IF(AQ77="7",BH77,0),2)</f>
        <v>0</v>
      </c>
      <c r="AE77" s="24">
        <f>ROUND(IF(AQ77="7",BI77,0),2)</f>
        <v>0</v>
      </c>
      <c r="AF77" s="24">
        <f>ROUND(IF(AQ77="2",BH77,0),2)</f>
        <v>0</v>
      </c>
      <c r="AG77" s="24">
        <f>ROUND(IF(AQ77="2",BI77,0),2)</f>
        <v>0</v>
      </c>
      <c r="AH77" s="24">
        <f>ROUND(IF(AQ77="0",BJ77,0),2)</f>
        <v>0</v>
      </c>
      <c r="AI77" s="10" t="s">
        <v>49</v>
      </c>
      <c r="AJ77" s="24">
        <f>IF(AN77=0,J77,0)</f>
        <v>0</v>
      </c>
      <c r="AK77" s="24">
        <f>IF(AN77=12,J77,0)</f>
        <v>0</v>
      </c>
      <c r="AL77" s="24">
        <f>IF(AN77=21,J77,0)</f>
        <v>0</v>
      </c>
      <c r="AN77" s="24">
        <v>12</v>
      </c>
      <c r="AO77" s="24">
        <f>G77*0.489791209</f>
        <v>0</v>
      </c>
      <c r="AP77" s="24">
        <f>G77*(1-0.489791209)</f>
        <v>0</v>
      </c>
      <c r="AQ77" s="26" t="s">
        <v>74</v>
      </c>
      <c r="AV77" s="24">
        <f>ROUND(AW77+AX77,2)</f>
        <v>0</v>
      </c>
      <c r="AW77" s="24">
        <f>ROUND(F77*AO77,2)</f>
        <v>0</v>
      </c>
      <c r="AX77" s="24">
        <f>ROUND(F77*AP77,2)</f>
        <v>0</v>
      </c>
      <c r="AY77" s="26" t="s">
        <v>115</v>
      </c>
      <c r="AZ77" s="26" t="s">
        <v>116</v>
      </c>
      <c r="BA77" s="10" t="s">
        <v>59</v>
      </c>
      <c r="BC77" s="24">
        <f>AW77+AX77</f>
        <v>0</v>
      </c>
      <c r="BD77" s="24">
        <f>G77/(100-BE77)*100</f>
        <v>0</v>
      </c>
      <c r="BE77" s="24">
        <v>0</v>
      </c>
      <c r="BF77" s="24">
        <f>77</f>
        <v>77</v>
      </c>
      <c r="BH77" s="24">
        <f>F77*AO77</f>
        <v>0</v>
      </c>
      <c r="BI77" s="24">
        <f>F77*AP77</f>
        <v>0</v>
      </c>
      <c r="BJ77" s="24">
        <f>F77*G77</f>
        <v>0</v>
      </c>
      <c r="BK77" s="24"/>
      <c r="BL77" s="24">
        <v>762</v>
      </c>
      <c r="BW77" s="24">
        <v>12</v>
      </c>
      <c r="BX77" s="4" t="s">
        <v>196</v>
      </c>
    </row>
    <row r="78" spans="1:76" ht="13.5" customHeight="1" x14ac:dyDescent="0.3">
      <c r="A78" s="27"/>
      <c r="B78" s="28" t="s">
        <v>86</v>
      </c>
      <c r="C78" s="95" t="s">
        <v>197</v>
      </c>
      <c r="D78" s="96"/>
      <c r="E78" s="96"/>
      <c r="F78" s="96"/>
      <c r="G78" s="96"/>
      <c r="H78" s="96"/>
      <c r="I78" s="96"/>
      <c r="J78" s="96"/>
      <c r="K78" s="97"/>
    </row>
    <row r="79" spans="1:76" ht="14.4" x14ac:dyDescent="0.3">
      <c r="A79" s="2" t="s">
        <v>198</v>
      </c>
      <c r="B79" s="3" t="s">
        <v>199</v>
      </c>
      <c r="C79" s="89" t="s">
        <v>200</v>
      </c>
      <c r="D79" s="90"/>
      <c r="E79" s="3" t="s">
        <v>55</v>
      </c>
      <c r="F79" s="24">
        <v>90</v>
      </c>
      <c r="G79" s="24">
        <v>0</v>
      </c>
      <c r="H79" s="24">
        <f>ROUND(F79*AO79,2)</f>
        <v>0</v>
      </c>
      <c r="I79" s="24">
        <f>ROUND(F79*AP79,2)</f>
        <v>0</v>
      </c>
      <c r="J79" s="24">
        <f>ROUND(F79*G79,2)</f>
        <v>0</v>
      </c>
      <c r="K79" s="25" t="s">
        <v>56</v>
      </c>
      <c r="Z79" s="24">
        <f>ROUND(IF(AQ79="5",BJ79,0),2)</f>
        <v>0</v>
      </c>
      <c r="AB79" s="24">
        <f>ROUND(IF(AQ79="1",BH79,0),2)</f>
        <v>0</v>
      </c>
      <c r="AC79" s="24">
        <f>ROUND(IF(AQ79="1",BI79,0),2)</f>
        <v>0</v>
      </c>
      <c r="AD79" s="24">
        <f>ROUND(IF(AQ79="7",BH79,0),2)</f>
        <v>0</v>
      </c>
      <c r="AE79" s="24">
        <f>ROUND(IF(AQ79="7",BI79,0),2)</f>
        <v>0</v>
      </c>
      <c r="AF79" s="24">
        <f>ROUND(IF(AQ79="2",BH79,0),2)</f>
        <v>0</v>
      </c>
      <c r="AG79" s="24">
        <f>ROUND(IF(AQ79="2",BI79,0),2)</f>
        <v>0</v>
      </c>
      <c r="AH79" s="24">
        <f>ROUND(IF(AQ79="0",BJ79,0),2)</f>
        <v>0</v>
      </c>
      <c r="AI79" s="10" t="s">
        <v>49</v>
      </c>
      <c r="AJ79" s="24">
        <f>IF(AN79=0,J79,0)</f>
        <v>0</v>
      </c>
      <c r="AK79" s="24">
        <f>IF(AN79=12,J79,0)</f>
        <v>0</v>
      </c>
      <c r="AL79" s="24">
        <f>IF(AN79=21,J79,0)</f>
        <v>0</v>
      </c>
      <c r="AN79" s="24">
        <v>12</v>
      </c>
      <c r="AO79" s="24">
        <f>G79*0.642544118</f>
        <v>0</v>
      </c>
      <c r="AP79" s="24">
        <f>G79*(1-0.642544118)</f>
        <v>0</v>
      </c>
      <c r="AQ79" s="26" t="s">
        <v>74</v>
      </c>
      <c r="AV79" s="24">
        <f>ROUND(AW79+AX79,2)</f>
        <v>0</v>
      </c>
      <c r="AW79" s="24">
        <f>ROUND(F79*AO79,2)</f>
        <v>0</v>
      </c>
      <c r="AX79" s="24">
        <f>ROUND(F79*AP79,2)</f>
        <v>0</v>
      </c>
      <c r="AY79" s="26" t="s">
        <v>115</v>
      </c>
      <c r="AZ79" s="26" t="s">
        <v>116</v>
      </c>
      <c r="BA79" s="10" t="s">
        <v>59</v>
      </c>
      <c r="BC79" s="24">
        <f>AW79+AX79</f>
        <v>0</v>
      </c>
      <c r="BD79" s="24">
        <f>G79/(100-BE79)*100</f>
        <v>0</v>
      </c>
      <c r="BE79" s="24">
        <v>0</v>
      </c>
      <c r="BF79" s="24">
        <f>79</f>
        <v>79</v>
      </c>
      <c r="BH79" s="24">
        <f>F79*AO79</f>
        <v>0</v>
      </c>
      <c r="BI79" s="24">
        <f>F79*AP79</f>
        <v>0</v>
      </c>
      <c r="BJ79" s="24">
        <f>F79*G79</f>
        <v>0</v>
      </c>
      <c r="BK79" s="24"/>
      <c r="BL79" s="24">
        <v>762</v>
      </c>
      <c r="BW79" s="24">
        <v>12</v>
      </c>
      <c r="BX79" s="4" t="s">
        <v>200</v>
      </c>
    </row>
    <row r="80" spans="1:76" ht="13.5" customHeight="1" x14ac:dyDescent="0.3">
      <c r="A80" s="27"/>
      <c r="B80" s="28" t="s">
        <v>86</v>
      </c>
      <c r="C80" s="95" t="s">
        <v>201</v>
      </c>
      <c r="D80" s="96"/>
      <c r="E80" s="96"/>
      <c r="F80" s="96"/>
      <c r="G80" s="96"/>
      <c r="H80" s="96"/>
      <c r="I80" s="96"/>
      <c r="J80" s="96"/>
      <c r="K80" s="97"/>
    </row>
    <row r="81" spans="1:76" ht="14.4" x14ac:dyDescent="0.3">
      <c r="A81" s="30" t="s">
        <v>49</v>
      </c>
      <c r="B81" s="31" t="s">
        <v>202</v>
      </c>
      <c r="C81" s="91" t="s">
        <v>203</v>
      </c>
      <c r="D81" s="92"/>
      <c r="E81" s="32" t="s">
        <v>4</v>
      </c>
      <c r="F81" s="32" t="s">
        <v>4</v>
      </c>
      <c r="G81" s="32" t="s">
        <v>4</v>
      </c>
      <c r="H81" s="1">
        <f>SUM(H82:H102)</f>
        <v>0</v>
      </c>
      <c r="I81" s="1">
        <f>SUM(I82:I102)</f>
        <v>0</v>
      </c>
      <c r="J81" s="1">
        <f>SUM(J82:J102)</f>
        <v>0</v>
      </c>
      <c r="K81" s="33" t="s">
        <v>49</v>
      </c>
      <c r="AI81" s="10" t="s">
        <v>49</v>
      </c>
      <c r="AS81" s="1">
        <f>SUM(AJ82:AJ102)</f>
        <v>0</v>
      </c>
      <c r="AT81" s="1">
        <f>SUM(AK82:AK102)</f>
        <v>0</v>
      </c>
      <c r="AU81" s="1">
        <f>SUM(AL82:AL102)</f>
        <v>0</v>
      </c>
    </row>
    <row r="82" spans="1:76" ht="14.4" x14ac:dyDescent="0.3">
      <c r="A82" s="2" t="s">
        <v>204</v>
      </c>
      <c r="B82" s="3" t="s">
        <v>205</v>
      </c>
      <c r="C82" s="89" t="s">
        <v>206</v>
      </c>
      <c r="D82" s="90"/>
      <c r="E82" s="3" t="s">
        <v>55</v>
      </c>
      <c r="F82" s="24">
        <v>127</v>
      </c>
      <c r="G82" s="24">
        <v>0</v>
      </c>
      <c r="H82" s="24">
        <f>ROUND(F82*AO82,2)</f>
        <v>0</v>
      </c>
      <c r="I82" s="24">
        <f>ROUND(F82*AP82,2)</f>
        <v>0</v>
      </c>
      <c r="J82" s="24">
        <f>ROUND(F82*G82,2)</f>
        <v>0</v>
      </c>
      <c r="K82" s="25" t="s">
        <v>56</v>
      </c>
      <c r="Z82" s="24">
        <f>ROUND(IF(AQ82="5",BJ82,0),2)</f>
        <v>0</v>
      </c>
      <c r="AB82" s="24">
        <f>ROUND(IF(AQ82="1",BH82,0),2)</f>
        <v>0</v>
      </c>
      <c r="AC82" s="24">
        <f>ROUND(IF(AQ82="1",BI82,0),2)</f>
        <v>0</v>
      </c>
      <c r="AD82" s="24">
        <f>ROUND(IF(AQ82="7",BH82,0),2)</f>
        <v>0</v>
      </c>
      <c r="AE82" s="24">
        <f>ROUND(IF(AQ82="7",BI82,0),2)</f>
        <v>0</v>
      </c>
      <c r="AF82" s="24">
        <f>ROUND(IF(AQ82="2",BH82,0),2)</f>
        <v>0</v>
      </c>
      <c r="AG82" s="24">
        <f>ROUND(IF(AQ82="2",BI82,0),2)</f>
        <v>0</v>
      </c>
      <c r="AH82" s="24">
        <f>ROUND(IF(AQ82="0",BJ82,0),2)</f>
        <v>0</v>
      </c>
      <c r="AI82" s="10" t="s">
        <v>49</v>
      </c>
      <c r="AJ82" s="24">
        <f>IF(AN82=0,J82,0)</f>
        <v>0</v>
      </c>
      <c r="AK82" s="24">
        <f>IF(AN82=12,J82,0)</f>
        <v>0</v>
      </c>
      <c r="AL82" s="24">
        <f>IF(AN82=21,J82,0)</f>
        <v>0</v>
      </c>
      <c r="AN82" s="24">
        <v>12</v>
      </c>
      <c r="AO82" s="24">
        <f>G82*0.434050932</f>
        <v>0</v>
      </c>
      <c r="AP82" s="24">
        <f>G82*(1-0.434050932)</f>
        <v>0</v>
      </c>
      <c r="AQ82" s="26" t="s">
        <v>74</v>
      </c>
      <c r="AV82" s="24">
        <f>ROUND(AW82+AX82,2)</f>
        <v>0</v>
      </c>
      <c r="AW82" s="24">
        <f>ROUND(F82*AO82,2)</f>
        <v>0</v>
      </c>
      <c r="AX82" s="24">
        <f>ROUND(F82*AP82,2)</f>
        <v>0</v>
      </c>
      <c r="AY82" s="26" t="s">
        <v>207</v>
      </c>
      <c r="AZ82" s="26" t="s">
        <v>116</v>
      </c>
      <c r="BA82" s="10" t="s">
        <v>59</v>
      </c>
      <c r="BC82" s="24">
        <f>AW82+AX82</f>
        <v>0</v>
      </c>
      <c r="BD82" s="24">
        <f>G82/(100-BE82)*100</f>
        <v>0</v>
      </c>
      <c r="BE82" s="24">
        <v>0</v>
      </c>
      <c r="BF82" s="24">
        <f>82</f>
        <v>82</v>
      </c>
      <c r="BH82" s="24">
        <f>F82*AO82</f>
        <v>0</v>
      </c>
      <c r="BI82" s="24">
        <f>F82*AP82</f>
        <v>0</v>
      </c>
      <c r="BJ82" s="24">
        <f>F82*G82</f>
        <v>0</v>
      </c>
      <c r="BK82" s="24"/>
      <c r="BL82" s="24">
        <v>764</v>
      </c>
      <c r="BW82" s="24">
        <v>12</v>
      </c>
      <c r="BX82" s="4" t="s">
        <v>206</v>
      </c>
    </row>
    <row r="83" spans="1:76" ht="14.4" x14ac:dyDescent="0.3">
      <c r="A83" s="27"/>
      <c r="B83" s="28" t="s">
        <v>63</v>
      </c>
      <c r="C83" s="95" t="s">
        <v>208</v>
      </c>
      <c r="D83" s="96"/>
      <c r="E83" s="96"/>
      <c r="F83" s="96"/>
      <c r="G83" s="96"/>
      <c r="H83" s="96"/>
      <c r="I83" s="96"/>
      <c r="J83" s="96"/>
      <c r="K83" s="97"/>
      <c r="BX83" s="29" t="s">
        <v>208</v>
      </c>
    </row>
    <row r="84" spans="1:76" ht="14.4" x14ac:dyDescent="0.3">
      <c r="A84" s="2" t="s">
        <v>209</v>
      </c>
      <c r="B84" s="3" t="s">
        <v>210</v>
      </c>
      <c r="C84" s="89" t="s">
        <v>211</v>
      </c>
      <c r="D84" s="90"/>
      <c r="E84" s="3" t="s">
        <v>55</v>
      </c>
      <c r="F84" s="24">
        <v>28</v>
      </c>
      <c r="G84" s="24">
        <v>0</v>
      </c>
      <c r="H84" s="24">
        <f>ROUND(F84*AO84,2)</f>
        <v>0</v>
      </c>
      <c r="I84" s="24">
        <f>ROUND(F84*AP84,2)</f>
        <v>0</v>
      </c>
      <c r="J84" s="24">
        <f>ROUND(F84*G84,2)</f>
        <v>0</v>
      </c>
      <c r="K84" s="25" t="s">
        <v>56</v>
      </c>
      <c r="Z84" s="24">
        <f>ROUND(IF(AQ84="5",BJ84,0),2)</f>
        <v>0</v>
      </c>
      <c r="AB84" s="24">
        <f>ROUND(IF(AQ84="1",BH84,0),2)</f>
        <v>0</v>
      </c>
      <c r="AC84" s="24">
        <f>ROUND(IF(AQ84="1",BI84,0),2)</f>
        <v>0</v>
      </c>
      <c r="AD84" s="24">
        <f>ROUND(IF(AQ84="7",BH84,0),2)</f>
        <v>0</v>
      </c>
      <c r="AE84" s="24">
        <f>ROUND(IF(AQ84="7",BI84,0),2)</f>
        <v>0</v>
      </c>
      <c r="AF84" s="24">
        <f>ROUND(IF(AQ84="2",BH84,0),2)</f>
        <v>0</v>
      </c>
      <c r="AG84" s="24">
        <f>ROUND(IF(AQ84="2",BI84,0),2)</f>
        <v>0</v>
      </c>
      <c r="AH84" s="24">
        <f>ROUND(IF(AQ84="0",BJ84,0),2)</f>
        <v>0</v>
      </c>
      <c r="AI84" s="10" t="s">
        <v>49</v>
      </c>
      <c r="AJ84" s="24">
        <f>IF(AN84=0,J84,0)</f>
        <v>0</v>
      </c>
      <c r="AK84" s="24">
        <f>IF(AN84=12,J84,0)</f>
        <v>0</v>
      </c>
      <c r="AL84" s="24">
        <f>IF(AN84=21,J84,0)</f>
        <v>0</v>
      </c>
      <c r="AN84" s="24">
        <v>12</v>
      </c>
      <c r="AO84" s="24">
        <f>G84*0.396749403</f>
        <v>0</v>
      </c>
      <c r="AP84" s="24">
        <f>G84*(1-0.396749403)</f>
        <v>0</v>
      </c>
      <c r="AQ84" s="26" t="s">
        <v>74</v>
      </c>
      <c r="AV84" s="24">
        <f>ROUND(AW84+AX84,2)</f>
        <v>0</v>
      </c>
      <c r="AW84" s="24">
        <f>ROUND(F84*AO84,2)</f>
        <v>0</v>
      </c>
      <c r="AX84" s="24">
        <f>ROUND(F84*AP84,2)</f>
        <v>0</v>
      </c>
      <c r="AY84" s="26" t="s">
        <v>207</v>
      </c>
      <c r="AZ84" s="26" t="s">
        <v>116</v>
      </c>
      <c r="BA84" s="10" t="s">
        <v>59</v>
      </c>
      <c r="BC84" s="24">
        <f>AW84+AX84</f>
        <v>0</v>
      </c>
      <c r="BD84" s="24">
        <f>G84/(100-BE84)*100</f>
        <v>0</v>
      </c>
      <c r="BE84" s="24">
        <v>0</v>
      </c>
      <c r="BF84" s="24">
        <f>84</f>
        <v>84</v>
      </c>
      <c r="BH84" s="24">
        <f>F84*AO84</f>
        <v>0</v>
      </c>
      <c r="BI84" s="24">
        <f>F84*AP84</f>
        <v>0</v>
      </c>
      <c r="BJ84" s="24">
        <f>F84*G84</f>
        <v>0</v>
      </c>
      <c r="BK84" s="24"/>
      <c r="BL84" s="24">
        <v>764</v>
      </c>
      <c r="BW84" s="24">
        <v>12</v>
      </c>
      <c r="BX84" s="4" t="s">
        <v>211</v>
      </c>
    </row>
    <row r="85" spans="1:76" ht="13.5" customHeight="1" x14ac:dyDescent="0.3">
      <c r="A85" s="27"/>
      <c r="B85" s="28" t="s">
        <v>86</v>
      </c>
      <c r="C85" s="95" t="s">
        <v>212</v>
      </c>
      <c r="D85" s="96"/>
      <c r="E85" s="96"/>
      <c r="F85" s="96"/>
      <c r="G85" s="96"/>
      <c r="H85" s="96"/>
      <c r="I85" s="96"/>
      <c r="J85" s="96"/>
      <c r="K85" s="97"/>
    </row>
    <row r="86" spans="1:76" ht="14.4" x14ac:dyDescent="0.3">
      <c r="A86" s="27"/>
      <c r="B86" s="28" t="s">
        <v>63</v>
      </c>
      <c r="C86" s="95" t="s">
        <v>208</v>
      </c>
      <c r="D86" s="96"/>
      <c r="E86" s="96"/>
      <c r="F86" s="96"/>
      <c r="G86" s="96"/>
      <c r="H86" s="96"/>
      <c r="I86" s="96"/>
      <c r="J86" s="96"/>
      <c r="K86" s="97"/>
      <c r="BX86" s="29" t="s">
        <v>208</v>
      </c>
    </row>
    <row r="87" spans="1:76" ht="14.4" x14ac:dyDescent="0.3">
      <c r="A87" s="2" t="s">
        <v>213</v>
      </c>
      <c r="B87" s="3" t="s">
        <v>214</v>
      </c>
      <c r="C87" s="89" t="s">
        <v>215</v>
      </c>
      <c r="D87" s="90"/>
      <c r="E87" s="3" t="s">
        <v>55</v>
      </c>
      <c r="F87" s="24">
        <v>765</v>
      </c>
      <c r="G87" s="24">
        <v>0</v>
      </c>
      <c r="H87" s="24">
        <f>ROUND(F87*AO87,2)</f>
        <v>0</v>
      </c>
      <c r="I87" s="24">
        <f>ROUND(F87*AP87,2)</f>
        <v>0</v>
      </c>
      <c r="J87" s="24">
        <f>ROUND(F87*G87,2)</f>
        <v>0</v>
      </c>
      <c r="K87" s="25" t="s">
        <v>56</v>
      </c>
      <c r="Z87" s="24">
        <f>ROUND(IF(AQ87="5",BJ87,0),2)</f>
        <v>0</v>
      </c>
      <c r="AB87" s="24">
        <f>ROUND(IF(AQ87="1",BH87,0),2)</f>
        <v>0</v>
      </c>
      <c r="AC87" s="24">
        <f>ROUND(IF(AQ87="1",BI87,0),2)</f>
        <v>0</v>
      </c>
      <c r="AD87" s="24">
        <f>ROUND(IF(AQ87="7",BH87,0),2)</f>
        <v>0</v>
      </c>
      <c r="AE87" s="24">
        <f>ROUND(IF(AQ87="7",BI87,0),2)</f>
        <v>0</v>
      </c>
      <c r="AF87" s="24">
        <f>ROUND(IF(AQ87="2",BH87,0),2)</f>
        <v>0</v>
      </c>
      <c r="AG87" s="24">
        <f>ROUND(IF(AQ87="2",BI87,0),2)</f>
        <v>0</v>
      </c>
      <c r="AH87" s="24">
        <f>ROUND(IF(AQ87="0",BJ87,0),2)</f>
        <v>0</v>
      </c>
      <c r="AI87" s="10" t="s">
        <v>49</v>
      </c>
      <c r="AJ87" s="24">
        <f>IF(AN87=0,J87,0)</f>
        <v>0</v>
      </c>
      <c r="AK87" s="24">
        <f>IF(AN87=12,J87,0)</f>
        <v>0</v>
      </c>
      <c r="AL87" s="24">
        <f>IF(AN87=21,J87,0)</f>
        <v>0</v>
      </c>
      <c r="AN87" s="24">
        <v>12</v>
      </c>
      <c r="AO87" s="24">
        <f>G87*0.242957898</f>
        <v>0</v>
      </c>
      <c r="AP87" s="24">
        <f>G87*(1-0.242957898)</f>
        <v>0</v>
      </c>
      <c r="AQ87" s="26" t="s">
        <v>74</v>
      </c>
      <c r="AV87" s="24">
        <f>ROUND(AW87+AX87,2)</f>
        <v>0</v>
      </c>
      <c r="AW87" s="24">
        <f>ROUND(F87*AO87,2)</f>
        <v>0</v>
      </c>
      <c r="AX87" s="24">
        <f>ROUND(F87*AP87,2)</f>
        <v>0</v>
      </c>
      <c r="AY87" s="26" t="s">
        <v>207</v>
      </c>
      <c r="AZ87" s="26" t="s">
        <v>116</v>
      </c>
      <c r="BA87" s="10" t="s">
        <v>59</v>
      </c>
      <c r="BC87" s="24">
        <f>AW87+AX87</f>
        <v>0</v>
      </c>
      <c r="BD87" s="24">
        <f>G87/(100-BE87)*100</f>
        <v>0</v>
      </c>
      <c r="BE87" s="24">
        <v>0</v>
      </c>
      <c r="BF87" s="24">
        <f>87</f>
        <v>87</v>
      </c>
      <c r="BH87" s="24">
        <f>F87*AO87</f>
        <v>0</v>
      </c>
      <c r="BI87" s="24">
        <f>F87*AP87</f>
        <v>0</v>
      </c>
      <c r="BJ87" s="24">
        <f>F87*G87</f>
        <v>0</v>
      </c>
      <c r="BK87" s="24"/>
      <c r="BL87" s="24">
        <v>764</v>
      </c>
      <c r="BW87" s="24">
        <v>12</v>
      </c>
      <c r="BX87" s="4" t="s">
        <v>215</v>
      </c>
    </row>
    <row r="88" spans="1:76" ht="26.4" x14ac:dyDescent="0.3">
      <c r="A88" s="27"/>
      <c r="B88" s="28" t="s">
        <v>63</v>
      </c>
      <c r="C88" s="95" t="s">
        <v>216</v>
      </c>
      <c r="D88" s="96"/>
      <c r="E88" s="96"/>
      <c r="F88" s="96"/>
      <c r="G88" s="96"/>
      <c r="H88" s="96"/>
      <c r="I88" s="96"/>
      <c r="J88" s="96"/>
      <c r="K88" s="97"/>
      <c r="BX88" s="29" t="s">
        <v>216</v>
      </c>
    </row>
    <row r="89" spans="1:76" ht="14.4" x14ac:dyDescent="0.3">
      <c r="A89" s="2" t="s">
        <v>217</v>
      </c>
      <c r="B89" s="3" t="s">
        <v>218</v>
      </c>
      <c r="C89" s="89" t="s">
        <v>219</v>
      </c>
      <c r="D89" s="90"/>
      <c r="E89" s="3" t="s">
        <v>102</v>
      </c>
      <c r="F89" s="24">
        <v>105</v>
      </c>
      <c r="G89" s="24">
        <v>0</v>
      </c>
      <c r="H89" s="24">
        <f>ROUND(F89*AO89,2)</f>
        <v>0</v>
      </c>
      <c r="I89" s="24">
        <f>ROUND(F89*AP89,2)</f>
        <v>0</v>
      </c>
      <c r="J89" s="24">
        <f>ROUND(F89*G89,2)</f>
        <v>0</v>
      </c>
      <c r="K89" s="25" t="s">
        <v>56</v>
      </c>
      <c r="Z89" s="24">
        <f>ROUND(IF(AQ89="5",BJ89,0),2)</f>
        <v>0</v>
      </c>
      <c r="AB89" s="24">
        <f>ROUND(IF(AQ89="1",BH89,0),2)</f>
        <v>0</v>
      </c>
      <c r="AC89" s="24">
        <f>ROUND(IF(AQ89="1",BI89,0),2)</f>
        <v>0</v>
      </c>
      <c r="AD89" s="24">
        <f>ROUND(IF(AQ89="7",BH89,0),2)</f>
        <v>0</v>
      </c>
      <c r="AE89" s="24">
        <f>ROUND(IF(AQ89="7",BI89,0),2)</f>
        <v>0</v>
      </c>
      <c r="AF89" s="24">
        <f>ROUND(IF(AQ89="2",BH89,0),2)</f>
        <v>0</v>
      </c>
      <c r="AG89" s="24">
        <f>ROUND(IF(AQ89="2",BI89,0),2)</f>
        <v>0</v>
      </c>
      <c r="AH89" s="24">
        <f>ROUND(IF(AQ89="0",BJ89,0),2)</f>
        <v>0</v>
      </c>
      <c r="AI89" s="10" t="s">
        <v>49</v>
      </c>
      <c r="AJ89" s="24">
        <f>IF(AN89=0,J89,0)</f>
        <v>0</v>
      </c>
      <c r="AK89" s="24">
        <f>IF(AN89=12,J89,0)</f>
        <v>0</v>
      </c>
      <c r="AL89" s="24">
        <f>IF(AN89=21,J89,0)</f>
        <v>0</v>
      </c>
      <c r="AN89" s="24">
        <v>12</v>
      </c>
      <c r="AO89" s="24">
        <f>G89*0</f>
        <v>0</v>
      </c>
      <c r="AP89" s="24">
        <f>G89*(1-0)</f>
        <v>0</v>
      </c>
      <c r="AQ89" s="26" t="s">
        <v>74</v>
      </c>
      <c r="AV89" s="24">
        <f>ROUND(AW89+AX89,2)</f>
        <v>0</v>
      </c>
      <c r="AW89" s="24">
        <f>ROUND(F89*AO89,2)</f>
        <v>0</v>
      </c>
      <c r="AX89" s="24">
        <f>ROUND(F89*AP89,2)</f>
        <v>0</v>
      </c>
      <c r="AY89" s="26" t="s">
        <v>207</v>
      </c>
      <c r="AZ89" s="26" t="s">
        <v>116</v>
      </c>
      <c r="BA89" s="10" t="s">
        <v>59</v>
      </c>
      <c r="BC89" s="24">
        <f>AW89+AX89</f>
        <v>0</v>
      </c>
      <c r="BD89" s="24">
        <f>G89/(100-BE89)*100</f>
        <v>0</v>
      </c>
      <c r="BE89" s="24">
        <v>0</v>
      </c>
      <c r="BF89" s="24">
        <f>89</f>
        <v>89</v>
      </c>
      <c r="BH89" s="24">
        <f>F89*AO89</f>
        <v>0</v>
      </c>
      <c r="BI89" s="24">
        <f>F89*AP89</f>
        <v>0</v>
      </c>
      <c r="BJ89" s="24">
        <f>F89*G89</f>
        <v>0</v>
      </c>
      <c r="BK89" s="24"/>
      <c r="BL89" s="24">
        <v>764</v>
      </c>
      <c r="BW89" s="24">
        <v>12</v>
      </c>
      <c r="BX89" s="4" t="s">
        <v>219</v>
      </c>
    </row>
    <row r="90" spans="1:76" ht="14.4" x14ac:dyDescent="0.3">
      <c r="A90" s="27"/>
      <c r="B90" s="28" t="s">
        <v>63</v>
      </c>
      <c r="C90" s="95" t="s">
        <v>220</v>
      </c>
      <c r="D90" s="96"/>
      <c r="E90" s="96"/>
      <c r="F90" s="96"/>
      <c r="G90" s="96"/>
      <c r="H90" s="96"/>
      <c r="I90" s="96"/>
      <c r="J90" s="96"/>
      <c r="K90" s="97"/>
      <c r="BX90" s="29" t="s">
        <v>220</v>
      </c>
    </row>
    <row r="91" spans="1:76" ht="14.4" x14ac:dyDescent="0.3">
      <c r="A91" s="2" t="s">
        <v>221</v>
      </c>
      <c r="B91" s="3" t="s">
        <v>222</v>
      </c>
      <c r="C91" s="89" t="s">
        <v>223</v>
      </c>
      <c r="D91" s="90"/>
      <c r="E91" s="3" t="s">
        <v>96</v>
      </c>
      <c r="F91" s="24">
        <v>38</v>
      </c>
      <c r="G91" s="24">
        <v>0</v>
      </c>
      <c r="H91" s="24">
        <f>ROUND(F91*AO91,2)</f>
        <v>0</v>
      </c>
      <c r="I91" s="24">
        <f>ROUND(F91*AP91,2)</f>
        <v>0</v>
      </c>
      <c r="J91" s="24">
        <f>ROUND(F91*G91,2)</f>
        <v>0</v>
      </c>
      <c r="K91" s="25" t="s">
        <v>56</v>
      </c>
      <c r="Z91" s="24">
        <f>ROUND(IF(AQ91="5",BJ91,0),2)</f>
        <v>0</v>
      </c>
      <c r="AB91" s="24">
        <f>ROUND(IF(AQ91="1",BH91,0),2)</f>
        <v>0</v>
      </c>
      <c r="AC91" s="24">
        <f>ROUND(IF(AQ91="1",BI91,0),2)</f>
        <v>0</v>
      </c>
      <c r="AD91" s="24">
        <f>ROUND(IF(AQ91="7",BH91,0),2)</f>
        <v>0</v>
      </c>
      <c r="AE91" s="24">
        <f>ROUND(IF(AQ91="7",BI91,0),2)</f>
        <v>0</v>
      </c>
      <c r="AF91" s="24">
        <f>ROUND(IF(AQ91="2",BH91,0),2)</f>
        <v>0</v>
      </c>
      <c r="AG91" s="24">
        <f>ROUND(IF(AQ91="2",BI91,0),2)</f>
        <v>0</v>
      </c>
      <c r="AH91" s="24">
        <f>ROUND(IF(AQ91="0",BJ91,0),2)</f>
        <v>0</v>
      </c>
      <c r="AI91" s="10" t="s">
        <v>49</v>
      </c>
      <c r="AJ91" s="24">
        <f>IF(AN91=0,J91,0)</f>
        <v>0</v>
      </c>
      <c r="AK91" s="24">
        <f>IF(AN91=12,J91,0)</f>
        <v>0</v>
      </c>
      <c r="AL91" s="24">
        <f>IF(AN91=21,J91,0)</f>
        <v>0</v>
      </c>
      <c r="AN91" s="24">
        <v>12</v>
      </c>
      <c r="AO91" s="24">
        <f>G91*0</f>
        <v>0</v>
      </c>
      <c r="AP91" s="24">
        <f>G91*(1-0)</f>
        <v>0</v>
      </c>
      <c r="AQ91" s="26" t="s">
        <v>74</v>
      </c>
      <c r="AV91" s="24">
        <f>ROUND(AW91+AX91,2)</f>
        <v>0</v>
      </c>
      <c r="AW91" s="24">
        <f>ROUND(F91*AO91,2)</f>
        <v>0</v>
      </c>
      <c r="AX91" s="24">
        <f>ROUND(F91*AP91,2)</f>
        <v>0</v>
      </c>
      <c r="AY91" s="26" t="s">
        <v>207</v>
      </c>
      <c r="AZ91" s="26" t="s">
        <v>116</v>
      </c>
      <c r="BA91" s="10" t="s">
        <v>59</v>
      </c>
      <c r="BC91" s="24">
        <f>AW91+AX91</f>
        <v>0</v>
      </c>
      <c r="BD91" s="24">
        <f>G91/(100-BE91)*100</f>
        <v>0</v>
      </c>
      <c r="BE91" s="24">
        <v>0</v>
      </c>
      <c r="BF91" s="24">
        <f>91</f>
        <v>91</v>
      </c>
      <c r="BH91" s="24">
        <f>F91*AO91</f>
        <v>0</v>
      </c>
      <c r="BI91" s="24">
        <f>F91*AP91</f>
        <v>0</v>
      </c>
      <c r="BJ91" s="24">
        <f>F91*G91</f>
        <v>0</v>
      </c>
      <c r="BK91" s="24"/>
      <c r="BL91" s="24">
        <v>764</v>
      </c>
      <c r="BW91" s="24">
        <v>12</v>
      </c>
      <c r="BX91" s="4" t="s">
        <v>223</v>
      </c>
    </row>
    <row r="92" spans="1:76" ht="14.4" x14ac:dyDescent="0.3">
      <c r="A92" s="27"/>
      <c r="B92" s="28" t="s">
        <v>63</v>
      </c>
      <c r="C92" s="95" t="s">
        <v>220</v>
      </c>
      <c r="D92" s="96"/>
      <c r="E92" s="96"/>
      <c r="F92" s="96"/>
      <c r="G92" s="96"/>
      <c r="H92" s="96"/>
      <c r="I92" s="96"/>
      <c r="J92" s="96"/>
      <c r="K92" s="97"/>
      <c r="BX92" s="29" t="s">
        <v>220</v>
      </c>
    </row>
    <row r="93" spans="1:76" ht="14.4" x14ac:dyDescent="0.3">
      <c r="A93" s="2" t="s">
        <v>224</v>
      </c>
      <c r="B93" s="3" t="s">
        <v>225</v>
      </c>
      <c r="C93" s="89" t="s">
        <v>226</v>
      </c>
      <c r="D93" s="90"/>
      <c r="E93" s="3" t="s">
        <v>55</v>
      </c>
      <c r="F93" s="24">
        <v>770</v>
      </c>
      <c r="G93" s="24">
        <v>0</v>
      </c>
      <c r="H93" s="24">
        <f>ROUND(F93*AO93,2)</f>
        <v>0</v>
      </c>
      <c r="I93" s="24">
        <f>ROUND(F93*AP93,2)</f>
        <v>0</v>
      </c>
      <c r="J93" s="24">
        <f>ROUND(F93*G93,2)</f>
        <v>0</v>
      </c>
      <c r="K93" s="25" t="s">
        <v>56</v>
      </c>
      <c r="Z93" s="24">
        <f>ROUND(IF(AQ93="5",BJ93,0),2)</f>
        <v>0</v>
      </c>
      <c r="AB93" s="24">
        <f>ROUND(IF(AQ93="1",BH93,0),2)</f>
        <v>0</v>
      </c>
      <c r="AC93" s="24">
        <f>ROUND(IF(AQ93="1",BI93,0),2)</f>
        <v>0</v>
      </c>
      <c r="AD93" s="24">
        <f>ROUND(IF(AQ93="7",BH93,0),2)</f>
        <v>0</v>
      </c>
      <c r="AE93" s="24">
        <f>ROUND(IF(AQ93="7",BI93,0),2)</f>
        <v>0</v>
      </c>
      <c r="AF93" s="24">
        <f>ROUND(IF(AQ93="2",BH93,0),2)</f>
        <v>0</v>
      </c>
      <c r="AG93" s="24">
        <f>ROUND(IF(AQ93="2",BI93,0),2)</f>
        <v>0</v>
      </c>
      <c r="AH93" s="24">
        <f>ROUND(IF(AQ93="0",BJ93,0),2)</f>
        <v>0</v>
      </c>
      <c r="AI93" s="10" t="s">
        <v>49</v>
      </c>
      <c r="AJ93" s="24">
        <f>IF(AN93=0,J93,0)</f>
        <v>0</v>
      </c>
      <c r="AK93" s="24">
        <f>IF(AN93=12,J93,0)</f>
        <v>0</v>
      </c>
      <c r="AL93" s="24">
        <f>IF(AN93=21,J93,0)</f>
        <v>0</v>
      </c>
      <c r="AN93" s="24">
        <v>12</v>
      </c>
      <c r="AO93" s="24">
        <f>G93*0</f>
        <v>0</v>
      </c>
      <c r="AP93" s="24">
        <f>G93*(1-0)</f>
        <v>0</v>
      </c>
      <c r="AQ93" s="26" t="s">
        <v>74</v>
      </c>
      <c r="AV93" s="24">
        <f>ROUND(AW93+AX93,2)</f>
        <v>0</v>
      </c>
      <c r="AW93" s="24">
        <f>ROUND(F93*AO93,2)</f>
        <v>0</v>
      </c>
      <c r="AX93" s="24">
        <f>ROUND(F93*AP93,2)</f>
        <v>0</v>
      </c>
      <c r="AY93" s="26" t="s">
        <v>207</v>
      </c>
      <c r="AZ93" s="26" t="s">
        <v>116</v>
      </c>
      <c r="BA93" s="10" t="s">
        <v>59</v>
      </c>
      <c r="BC93" s="24">
        <f>AW93+AX93</f>
        <v>0</v>
      </c>
      <c r="BD93" s="24">
        <f>G93/(100-BE93)*100</f>
        <v>0</v>
      </c>
      <c r="BE93" s="24">
        <v>0</v>
      </c>
      <c r="BF93" s="24">
        <f>93</f>
        <v>93</v>
      </c>
      <c r="BH93" s="24">
        <f>F93*AO93</f>
        <v>0</v>
      </c>
      <c r="BI93" s="24">
        <f>F93*AP93</f>
        <v>0</v>
      </c>
      <c r="BJ93" s="24">
        <f>F93*G93</f>
        <v>0</v>
      </c>
      <c r="BK93" s="24"/>
      <c r="BL93" s="24">
        <v>764</v>
      </c>
      <c r="BW93" s="24">
        <v>12</v>
      </c>
      <c r="BX93" s="4" t="s">
        <v>226</v>
      </c>
    </row>
    <row r="94" spans="1:76" ht="14.4" x14ac:dyDescent="0.3">
      <c r="A94" s="2" t="s">
        <v>227</v>
      </c>
      <c r="B94" s="3" t="s">
        <v>228</v>
      </c>
      <c r="C94" s="89" t="s">
        <v>229</v>
      </c>
      <c r="D94" s="90"/>
      <c r="E94" s="3" t="s">
        <v>102</v>
      </c>
      <c r="F94" s="24">
        <v>92</v>
      </c>
      <c r="G94" s="24">
        <v>0</v>
      </c>
      <c r="H94" s="24">
        <f>ROUND(F94*AO94,2)</f>
        <v>0</v>
      </c>
      <c r="I94" s="24">
        <f>ROUND(F94*AP94,2)</f>
        <v>0</v>
      </c>
      <c r="J94" s="24">
        <f>ROUND(F94*G94,2)</f>
        <v>0</v>
      </c>
      <c r="K94" s="25" t="s">
        <v>56</v>
      </c>
      <c r="Z94" s="24">
        <f>ROUND(IF(AQ94="5",BJ94,0),2)</f>
        <v>0</v>
      </c>
      <c r="AB94" s="24">
        <f>ROUND(IF(AQ94="1",BH94,0),2)</f>
        <v>0</v>
      </c>
      <c r="AC94" s="24">
        <f>ROUND(IF(AQ94="1",BI94,0),2)</f>
        <v>0</v>
      </c>
      <c r="AD94" s="24">
        <f>ROUND(IF(AQ94="7",BH94,0),2)</f>
        <v>0</v>
      </c>
      <c r="AE94" s="24">
        <f>ROUND(IF(AQ94="7",BI94,0),2)</f>
        <v>0</v>
      </c>
      <c r="AF94" s="24">
        <f>ROUND(IF(AQ94="2",BH94,0),2)</f>
        <v>0</v>
      </c>
      <c r="AG94" s="24">
        <f>ROUND(IF(AQ94="2",BI94,0),2)</f>
        <v>0</v>
      </c>
      <c r="AH94" s="24">
        <f>ROUND(IF(AQ94="0",BJ94,0),2)</f>
        <v>0</v>
      </c>
      <c r="AI94" s="10" t="s">
        <v>49</v>
      </c>
      <c r="AJ94" s="24">
        <f>IF(AN94=0,J94,0)</f>
        <v>0</v>
      </c>
      <c r="AK94" s="24">
        <f>IF(AN94=12,J94,0)</f>
        <v>0</v>
      </c>
      <c r="AL94" s="24">
        <f>IF(AN94=21,J94,0)</f>
        <v>0</v>
      </c>
      <c r="AN94" s="24">
        <v>12</v>
      </c>
      <c r="AO94" s="24">
        <f>G94*0.500500557</f>
        <v>0</v>
      </c>
      <c r="AP94" s="24">
        <f>G94*(1-0.500500557)</f>
        <v>0</v>
      </c>
      <c r="AQ94" s="26" t="s">
        <v>74</v>
      </c>
      <c r="AV94" s="24">
        <f>ROUND(AW94+AX94,2)</f>
        <v>0</v>
      </c>
      <c r="AW94" s="24">
        <f>ROUND(F94*AO94,2)</f>
        <v>0</v>
      </c>
      <c r="AX94" s="24">
        <f>ROUND(F94*AP94,2)</f>
        <v>0</v>
      </c>
      <c r="AY94" s="26" t="s">
        <v>207</v>
      </c>
      <c r="AZ94" s="26" t="s">
        <v>116</v>
      </c>
      <c r="BA94" s="10" t="s">
        <v>59</v>
      </c>
      <c r="BC94" s="24">
        <f>AW94+AX94</f>
        <v>0</v>
      </c>
      <c r="BD94" s="24">
        <f>G94/(100-BE94)*100</f>
        <v>0</v>
      </c>
      <c r="BE94" s="24">
        <v>0</v>
      </c>
      <c r="BF94" s="24">
        <f>94</f>
        <v>94</v>
      </c>
      <c r="BH94" s="24">
        <f>F94*AO94</f>
        <v>0</v>
      </c>
      <c r="BI94" s="24">
        <f>F94*AP94</f>
        <v>0</v>
      </c>
      <c r="BJ94" s="24">
        <f>F94*G94</f>
        <v>0</v>
      </c>
      <c r="BK94" s="24"/>
      <c r="BL94" s="24">
        <v>764</v>
      </c>
      <c r="BW94" s="24">
        <v>12</v>
      </c>
      <c r="BX94" s="4" t="s">
        <v>229</v>
      </c>
    </row>
    <row r="95" spans="1:76" ht="26.4" x14ac:dyDescent="0.3">
      <c r="A95" s="27"/>
      <c r="B95" s="28" t="s">
        <v>63</v>
      </c>
      <c r="C95" s="95" t="s">
        <v>230</v>
      </c>
      <c r="D95" s="96"/>
      <c r="E95" s="96"/>
      <c r="F95" s="96"/>
      <c r="G95" s="96"/>
      <c r="H95" s="96"/>
      <c r="I95" s="96"/>
      <c r="J95" s="96"/>
      <c r="K95" s="97"/>
      <c r="BX95" s="29" t="s">
        <v>230</v>
      </c>
    </row>
    <row r="96" spans="1:76" ht="14.4" x14ac:dyDescent="0.3">
      <c r="A96" s="2" t="s">
        <v>231</v>
      </c>
      <c r="B96" s="3" t="s">
        <v>232</v>
      </c>
      <c r="C96" s="89" t="s">
        <v>233</v>
      </c>
      <c r="D96" s="90"/>
      <c r="E96" s="3" t="s">
        <v>102</v>
      </c>
      <c r="F96" s="24">
        <v>92</v>
      </c>
      <c r="G96" s="24">
        <v>0</v>
      </c>
      <c r="H96" s="24">
        <f>ROUND(F96*AO96,2)</f>
        <v>0</v>
      </c>
      <c r="I96" s="24">
        <f>ROUND(F96*AP96,2)</f>
        <v>0</v>
      </c>
      <c r="J96" s="24">
        <f>ROUND(F96*G96,2)</f>
        <v>0</v>
      </c>
      <c r="K96" s="25" t="s">
        <v>56</v>
      </c>
      <c r="Z96" s="24">
        <f>ROUND(IF(AQ96="5",BJ96,0),2)</f>
        <v>0</v>
      </c>
      <c r="AB96" s="24">
        <f>ROUND(IF(AQ96="1",BH96,0),2)</f>
        <v>0</v>
      </c>
      <c r="AC96" s="24">
        <f>ROUND(IF(AQ96="1",BI96,0),2)</f>
        <v>0</v>
      </c>
      <c r="AD96" s="24">
        <f>ROUND(IF(AQ96="7",BH96,0),2)</f>
        <v>0</v>
      </c>
      <c r="AE96" s="24">
        <f>ROUND(IF(AQ96="7",BI96,0),2)</f>
        <v>0</v>
      </c>
      <c r="AF96" s="24">
        <f>ROUND(IF(AQ96="2",BH96,0),2)</f>
        <v>0</v>
      </c>
      <c r="AG96" s="24">
        <f>ROUND(IF(AQ96="2",BI96,0),2)</f>
        <v>0</v>
      </c>
      <c r="AH96" s="24">
        <f>ROUND(IF(AQ96="0",BJ96,0),2)</f>
        <v>0</v>
      </c>
      <c r="AI96" s="10" t="s">
        <v>49</v>
      </c>
      <c r="AJ96" s="24">
        <f>IF(AN96=0,J96,0)</f>
        <v>0</v>
      </c>
      <c r="AK96" s="24">
        <f>IF(AN96=12,J96,0)</f>
        <v>0</v>
      </c>
      <c r="AL96" s="24">
        <f>IF(AN96=21,J96,0)</f>
        <v>0</v>
      </c>
      <c r="AN96" s="24">
        <v>12</v>
      </c>
      <c r="AO96" s="24">
        <f>G96*0.095236744</f>
        <v>0</v>
      </c>
      <c r="AP96" s="24">
        <f>G96*(1-0.095236744)</f>
        <v>0</v>
      </c>
      <c r="AQ96" s="26" t="s">
        <v>74</v>
      </c>
      <c r="AV96" s="24">
        <f>ROUND(AW96+AX96,2)</f>
        <v>0</v>
      </c>
      <c r="AW96" s="24">
        <f>ROUND(F96*AO96,2)</f>
        <v>0</v>
      </c>
      <c r="AX96" s="24">
        <f>ROUND(F96*AP96,2)</f>
        <v>0</v>
      </c>
      <c r="AY96" s="26" t="s">
        <v>207</v>
      </c>
      <c r="AZ96" s="26" t="s">
        <v>116</v>
      </c>
      <c r="BA96" s="10" t="s">
        <v>59</v>
      </c>
      <c r="BC96" s="24">
        <f>AW96+AX96</f>
        <v>0</v>
      </c>
      <c r="BD96" s="24">
        <f>G96/(100-BE96)*100</f>
        <v>0</v>
      </c>
      <c r="BE96" s="24">
        <v>0</v>
      </c>
      <c r="BF96" s="24">
        <f>96</f>
        <v>96</v>
      </c>
      <c r="BH96" s="24">
        <f>F96*AO96</f>
        <v>0</v>
      </c>
      <c r="BI96" s="24">
        <f>F96*AP96</f>
        <v>0</v>
      </c>
      <c r="BJ96" s="24">
        <f>F96*G96</f>
        <v>0</v>
      </c>
      <c r="BK96" s="24"/>
      <c r="BL96" s="24">
        <v>764</v>
      </c>
      <c r="BW96" s="24">
        <v>12</v>
      </c>
      <c r="BX96" s="4" t="s">
        <v>233</v>
      </c>
    </row>
    <row r="97" spans="1:76" ht="26.4" x14ac:dyDescent="0.3">
      <c r="A97" s="27"/>
      <c r="B97" s="28" t="s">
        <v>63</v>
      </c>
      <c r="C97" s="95" t="s">
        <v>216</v>
      </c>
      <c r="D97" s="96"/>
      <c r="E97" s="96"/>
      <c r="F97" s="96"/>
      <c r="G97" s="96"/>
      <c r="H97" s="96"/>
      <c r="I97" s="96"/>
      <c r="J97" s="96"/>
      <c r="K97" s="97"/>
      <c r="BX97" s="29" t="s">
        <v>216</v>
      </c>
    </row>
    <row r="98" spans="1:76" ht="14.4" x14ac:dyDescent="0.3">
      <c r="A98" s="2" t="s">
        <v>234</v>
      </c>
      <c r="B98" s="3" t="s">
        <v>235</v>
      </c>
      <c r="C98" s="89" t="s">
        <v>236</v>
      </c>
      <c r="D98" s="90"/>
      <c r="E98" s="3" t="s">
        <v>96</v>
      </c>
      <c r="F98" s="24">
        <v>48</v>
      </c>
      <c r="G98" s="24">
        <v>0</v>
      </c>
      <c r="H98" s="24">
        <f>ROUND(F98*AO98,2)</f>
        <v>0</v>
      </c>
      <c r="I98" s="24">
        <f>ROUND(F98*AP98,2)</f>
        <v>0</v>
      </c>
      <c r="J98" s="24">
        <f>ROUND(F98*G98,2)</f>
        <v>0</v>
      </c>
      <c r="K98" s="25" t="s">
        <v>56</v>
      </c>
      <c r="Z98" s="24">
        <f>ROUND(IF(AQ98="5",BJ98,0),2)</f>
        <v>0</v>
      </c>
      <c r="AB98" s="24">
        <f>ROUND(IF(AQ98="1",BH98,0),2)</f>
        <v>0</v>
      </c>
      <c r="AC98" s="24">
        <f>ROUND(IF(AQ98="1",BI98,0),2)</f>
        <v>0</v>
      </c>
      <c r="AD98" s="24">
        <f>ROUND(IF(AQ98="7",BH98,0),2)</f>
        <v>0</v>
      </c>
      <c r="AE98" s="24">
        <f>ROUND(IF(AQ98="7",BI98,0),2)</f>
        <v>0</v>
      </c>
      <c r="AF98" s="24">
        <f>ROUND(IF(AQ98="2",BH98,0),2)</f>
        <v>0</v>
      </c>
      <c r="AG98" s="24">
        <f>ROUND(IF(AQ98="2",BI98,0),2)</f>
        <v>0</v>
      </c>
      <c r="AH98" s="24">
        <f>ROUND(IF(AQ98="0",BJ98,0),2)</f>
        <v>0</v>
      </c>
      <c r="AI98" s="10" t="s">
        <v>49</v>
      </c>
      <c r="AJ98" s="24">
        <f>IF(AN98=0,J98,0)</f>
        <v>0</v>
      </c>
      <c r="AK98" s="24">
        <f>IF(AN98=12,J98,0)</f>
        <v>0</v>
      </c>
      <c r="AL98" s="24">
        <f>IF(AN98=21,J98,0)</f>
        <v>0</v>
      </c>
      <c r="AN98" s="24">
        <v>12</v>
      </c>
      <c r="AO98" s="24">
        <f>G98*0.025428571</f>
        <v>0</v>
      </c>
      <c r="AP98" s="24">
        <f>G98*(1-0.025428571)</f>
        <v>0</v>
      </c>
      <c r="AQ98" s="26" t="s">
        <v>74</v>
      </c>
      <c r="AV98" s="24">
        <f>ROUND(AW98+AX98,2)</f>
        <v>0</v>
      </c>
      <c r="AW98" s="24">
        <f>ROUND(F98*AO98,2)</f>
        <v>0</v>
      </c>
      <c r="AX98" s="24">
        <f>ROUND(F98*AP98,2)</f>
        <v>0</v>
      </c>
      <c r="AY98" s="26" t="s">
        <v>207</v>
      </c>
      <c r="AZ98" s="26" t="s">
        <v>116</v>
      </c>
      <c r="BA98" s="10" t="s">
        <v>59</v>
      </c>
      <c r="BC98" s="24">
        <f>AW98+AX98</f>
        <v>0</v>
      </c>
      <c r="BD98" s="24">
        <f>G98/(100-BE98)*100</f>
        <v>0</v>
      </c>
      <c r="BE98" s="24">
        <v>0</v>
      </c>
      <c r="BF98" s="24">
        <f>98</f>
        <v>98</v>
      </c>
      <c r="BH98" s="24">
        <f>F98*AO98</f>
        <v>0</v>
      </c>
      <c r="BI98" s="24">
        <f>F98*AP98</f>
        <v>0</v>
      </c>
      <c r="BJ98" s="24">
        <f>F98*G98</f>
        <v>0</v>
      </c>
      <c r="BK98" s="24"/>
      <c r="BL98" s="24">
        <v>764</v>
      </c>
      <c r="BW98" s="24">
        <v>12</v>
      </c>
      <c r="BX98" s="4" t="s">
        <v>236</v>
      </c>
    </row>
    <row r="99" spans="1:76" ht="26.4" x14ac:dyDescent="0.3">
      <c r="A99" s="27"/>
      <c r="B99" s="28" t="s">
        <v>63</v>
      </c>
      <c r="C99" s="95" t="s">
        <v>216</v>
      </c>
      <c r="D99" s="96"/>
      <c r="E99" s="96"/>
      <c r="F99" s="96"/>
      <c r="G99" s="96"/>
      <c r="H99" s="96"/>
      <c r="I99" s="96"/>
      <c r="J99" s="96"/>
      <c r="K99" s="97"/>
      <c r="BX99" s="29" t="s">
        <v>216</v>
      </c>
    </row>
    <row r="100" spans="1:76" ht="14.4" x14ac:dyDescent="0.3">
      <c r="A100" s="2" t="s">
        <v>237</v>
      </c>
      <c r="B100" s="3" t="s">
        <v>238</v>
      </c>
      <c r="C100" s="89" t="s">
        <v>239</v>
      </c>
      <c r="D100" s="90"/>
      <c r="E100" s="3" t="s">
        <v>96</v>
      </c>
      <c r="F100" s="24">
        <v>201</v>
      </c>
      <c r="G100" s="24">
        <v>0</v>
      </c>
      <c r="H100" s="24">
        <f>ROUND(F100*AO100,2)</f>
        <v>0</v>
      </c>
      <c r="I100" s="24">
        <f>ROUND(F100*AP100,2)</f>
        <v>0</v>
      </c>
      <c r="J100" s="24">
        <f>ROUND(F100*G100,2)</f>
        <v>0</v>
      </c>
      <c r="K100" s="25" t="s">
        <v>56</v>
      </c>
      <c r="Z100" s="24">
        <f>ROUND(IF(AQ100="5",BJ100,0),2)</f>
        <v>0</v>
      </c>
      <c r="AB100" s="24">
        <f>ROUND(IF(AQ100="1",BH100,0),2)</f>
        <v>0</v>
      </c>
      <c r="AC100" s="24">
        <f>ROUND(IF(AQ100="1",BI100,0),2)</f>
        <v>0</v>
      </c>
      <c r="AD100" s="24">
        <f>ROUND(IF(AQ100="7",BH100,0),2)</f>
        <v>0</v>
      </c>
      <c r="AE100" s="24">
        <f>ROUND(IF(AQ100="7",BI100,0),2)</f>
        <v>0</v>
      </c>
      <c r="AF100" s="24">
        <f>ROUND(IF(AQ100="2",BH100,0),2)</f>
        <v>0</v>
      </c>
      <c r="AG100" s="24">
        <f>ROUND(IF(AQ100="2",BI100,0),2)</f>
        <v>0</v>
      </c>
      <c r="AH100" s="24">
        <f>ROUND(IF(AQ100="0",BJ100,0),2)</f>
        <v>0</v>
      </c>
      <c r="AI100" s="10" t="s">
        <v>49</v>
      </c>
      <c r="AJ100" s="24">
        <f>IF(AN100=0,J100,0)</f>
        <v>0</v>
      </c>
      <c r="AK100" s="24">
        <f>IF(AN100=12,J100,0)</f>
        <v>0</v>
      </c>
      <c r="AL100" s="24">
        <f>IF(AN100=21,J100,0)</f>
        <v>0</v>
      </c>
      <c r="AN100" s="24">
        <v>12</v>
      </c>
      <c r="AO100" s="24">
        <f>G100*0.00729978</f>
        <v>0</v>
      </c>
      <c r="AP100" s="24">
        <f>G100*(1-0.00729978)</f>
        <v>0</v>
      </c>
      <c r="AQ100" s="26" t="s">
        <v>74</v>
      </c>
      <c r="AV100" s="24">
        <f>ROUND(AW100+AX100,2)</f>
        <v>0</v>
      </c>
      <c r="AW100" s="24">
        <f>ROUND(F100*AO100,2)</f>
        <v>0</v>
      </c>
      <c r="AX100" s="24">
        <f>ROUND(F100*AP100,2)</f>
        <v>0</v>
      </c>
      <c r="AY100" s="26" t="s">
        <v>207</v>
      </c>
      <c r="AZ100" s="26" t="s">
        <v>116</v>
      </c>
      <c r="BA100" s="10" t="s">
        <v>59</v>
      </c>
      <c r="BC100" s="24">
        <f>AW100+AX100</f>
        <v>0</v>
      </c>
      <c r="BD100" s="24">
        <f>G100/(100-BE100)*100</f>
        <v>0</v>
      </c>
      <c r="BE100" s="24">
        <v>0</v>
      </c>
      <c r="BF100" s="24">
        <f>100</f>
        <v>100</v>
      </c>
      <c r="BH100" s="24">
        <f>F100*AO100</f>
        <v>0</v>
      </c>
      <c r="BI100" s="24">
        <f>F100*AP100</f>
        <v>0</v>
      </c>
      <c r="BJ100" s="24">
        <f>F100*G100</f>
        <v>0</v>
      </c>
      <c r="BK100" s="24"/>
      <c r="BL100" s="24">
        <v>764</v>
      </c>
      <c r="BW100" s="24">
        <v>12</v>
      </c>
      <c r="BX100" s="4" t="s">
        <v>239</v>
      </c>
    </row>
    <row r="101" spans="1:76" ht="26.4" x14ac:dyDescent="0.3">
      <c r="A101" s="27"/>
      <c r="B101" s="28" t="s">
        <v>63</v>
      </c>
      <c r="C101" s="95" t="s">
        <v>216</v>
      </c>
      <c r="D101" s="96"/>
      <c r="E101" s="96"/>
      <c r="F101" s="96"/>
      <c r="G101" s="96"/>
      <c r="H101" s="96"/>
      <c r="I101" s="96"/>
      <c r="J101" s="96"/>
      <c r="K101" s="97"/>
      <c r="BX101" s="29" t="s">
        <v>216</v>
      </c>
    </row>
    <row r="102" spans="1:76" ht="14.4" x14ac:dyDescent="0.3">
      <c r="A102" s="2" t="s">
        <v>240</v>
      </c>
      <c r="B102" s="3" t="s">
        <v>241</v>
      </c>
      <c r="C102" s="89" t="s">
        <v>242</v>
      </c>
      <c r="D102" s="90"/>
      <c r="E102" s="3" t="s">
        <v>96</v>
      </c>
      <c r="F102" s="24">
        <v>6</v>
      </c>
      <c r="G102" s="24">
        <v>0</v>
      </c>
      <c r="H102" s="24">
        <f>ROUND(F102*AO102,2)</f>
        <v>0</v>
      </c>
      <c r="I102" s="24">
        <f>ROUND(F102*AP102,2)</f>
        <v>0</v>
      </c>
      <c r="J102" s="24">
        <f>ROUND(F102*G102,2)</f>
        <v>0</v>
      </c>
      <c r="K102" s="25" t="s">
        <v>56</v>
      </c>
      <c r="Z102" s="24">
        <f>ROUND(IF(AQ102="5",BJ102,0),2)</f>
        <v>0</v>
      </c>
      <c r="AB102" s="24">
        <f>ROUND(IF(AQ102="1",BH102,0),2)</f>
        <v>0</v>
      </c>
      <c r="AC102" s="24">
        <f>ROUND(IF(AQ102="1",BI102,0),2)</f>
        <v>0</v>
      </c>
      <c r="AD102" s="24">
        <f>ROUND(IF(AQ102="7",BH102,0),2)</f>
        <v>0</v>
      </c>
      <c r="AE102" s="24">
        <f>ROUND(IF(AQ102="7",BI102,0),2)</f>
        <v>0</v>
      </c>
      <c r="AF102" s="24">
        <f>ROUND(IF(AQ102="2",BH102,0),2)</f>
        <v>0</v>
      </c>
      <c r="AG102" s="24">
        <f>ROUND(IF(AQ102="2",BI102,0),2)</f>
        <v>0</v>
      </c>
      <c r="AH102" s="24">
        <f>ROUND(IF(AQ102="0",BJ102,0),2)</f>
        <v>0</v>
      </c>
      <c r="AI102" s="10" t="s">
        <v>49</v>
      </c>
      <c r="AJ102" s="24">
        <f>IF(AN102=0,J102,0)</f>
        <v>0</v>
      </c>
      <c r="AK102" s="24">
        <f>IF(AN102=12,J102,0)</f>
        <v>0</v>
      </c>
      <c r="AL102" s="24">
        <f>IF(AN102=21,J102,0)</f>
        <v>0</v>
      </c>
      <c r="AN102" s="24">
        <v>12</v>
      </c>
      <c r="AO102" s="24">
        <f>G102*0.057894737</f>
        <v>0</v>
      </c>
      <c r="AP102" s="24">
        <f>G102*(1-0.057894737)</f>
        <v>0</v>
      </c>
      <c r="AQ102" s="26" t="s">
        <v>74</v>
      </c>
      <c r="AV102" s="24">
        <f>ROUND(AW102+AX102,2)</f>
        <v>0</v>
      </c>
      <c r="AW102" s="24">
        <f>ROUND(F102*AO102,2)</f>
        <v>0</v>
      </c>
      <c r="AX102" s="24">
        <f>ROUND(F102*AP102,2)</f>
        <v>0</v>
      </c>
      <c r="AY102" s="26" t="s">
        <v>207</v>
      </c>
      <c r="AZ102" s="26" t="s">
        <v>116</v>
      </c>
      <c r="BA102" s="10" t="s">
        <v>59</v>
      </c>
      <c r="BC102" s="24">
        <f>AW102+AX102</f>
        <v>0</v>
      </c>
      <c r="BD102" s="24">
        <f>G102/(100-BE102)*100</f>
        <v>0</v>
      </c>
      <c r="BE102" s="24">
        <v>0</v>
      </c>
      <c r="BF102" s="24">
        <f>102</f>
        <v>102</v>
      </c>
      <c r="BH102" s="24">
        <f>F102*AO102</f>
        <v>0</v>
      </c>
      <c r="BI102" s="24">
        <f>F102*AP102</f>
        <v>0</v>
      </c>
      <c r="BJ102" s="24">
        <f>F102*G102</f>
        <v>0</v>
      </c>
      <c r="BK102" s="24"/>
      <c r="BL102" s="24">
        <v>764</v>
      </c>
      <c r="BW102" s="24">
        <v>12</v>
      </c>
      <c r="BX102" s="4" t="s">
        <v>242</v>
      </c>
    </row>
    <row r="103" spans="1:76" ht="26.4" x14ac:dyDescent="0.3">
      <c r="A103" s="27"/>
      <c r="B103" s="28" t="s">
        <v>63</v>
      </c>
      <c r="C103" s="95" t="s">
        <v>216</v>
      </c>
      <c r="D103" s="96"/>
      <c r="E103" s="96"/>
      <c r="F103" s="96"/>
      <c r="G103" s="96"/>
      <c r="H103" s="96"/>
      <c r="I103" s="96"/>
      <c r="J103" s="96"/>
      <c r="K103" s="97"/>
      <c r="BX103" s="29" t="s">
        <v>216</v>
      </c>
    </row>
    <row r="104" spans="1:76" ht="14.4" x14ac:dyDescent="0.3">
      <c r="A104" s="30" t="s">
        <v>49</v>
      </c>
      <c r="B104" s="31" t="s">
        <v>243</v>
      </c>
      <c r="C104" s="91" t="s">
        <v>244</v>
      </c>
      <c r="D104" s="92"/>
      <c r="E104" s="32" t="s">
        <v>4</v>
      </c>
      <c r="F104" s="32" t="s">
        <v>4</v>
      </c>
      <c r="G104" s="32" t="s">
        <v>4</v>
      </c>
      <c r="H104" s="1">
        <f>SUM(H105:H107)</f>
        <v>0</v>
      </c>
      <c r="I104" s="1">
        <f>SUM(I105:I107)</f>
        <v>0</v>
      </c>
      <c r="J104" s="1">
        <f>SUM(J105:J107)</f>
        <v>0</v>
      </c>
      <c r="K104" s="33" t="s">
        <v>49</v>
      </c>
      <c r="AI104" s="10" t="s">
        <v>49</v>
      </c>
      <c r="AS104" s="1">
        <f>SUM(AJ105:AJ107)</f>
        <v>0</v>
      </c>
      <c r="AT104" s="1">
        <f>SUM(AK105:AK107)</f>
        <v>0</v>
      </c>
      <c r="AU104" s="1">
        <f>SUM(AL105:AL107)</f>
        <v>0</v>
      </c>
    </row>
    <row r="105" spans="1:76" ht="14.4" x14ac:dyDescent="0.3">
      <c r="A105" s="2" t="s">
        <v>245</v>
      </c>
      <c r="B105" s="3" t="s">
        <v>246</v>
      </c>
      <c r="C105" s="89" t="s">
        <v>251</v>
      </c>
      <c r="D105" s="90"/>
      <c r="E105" s="3" t="s">
        <v>55</v>
      </c>
      <c r="F105" s="24">
        <v>55</v>
      </c>
      <c r="G105" s="24">
        <v>0</v>
      </c>
      <c r="H105" s="24">
        <f>ROUND(F105*AO105,2)</f>
        <v>0</v>
      </c>
      <c r="I105" s="24">
        <f>ROUND(F105*AP105,2)</f>
        <v>0</v>
      </c>
      <c r="J105" s="24">
        <f>ROUND(F105*G105,2)</f>
        <v>0</v>
      </c>
      <c r="K105" s="25" t="s">
        <v>56</v>
      </c>
      <c r="Z105" s="24">
        <f>ROUND(IF(AQ105="5",BJ105,0),2)</f>
        <v>0</v>
      </c>
      <c r="AB105" s="24">
        <f>ROUND(IF(AQ105="1",BH105,0),2)</f>
        <v>0</v>
      </c>
      <c r="AC105" s="24">
        <f>ROUND(IF(AQ105="1",BI105,0),2)</f>
        <v>0</v>
      </c>
      <c r="AD105" s="24">
        <f>ROUND(IF(AQ105="7",BH105,0),2)</f>
        <v>0</v>
      </c>
      <c r="AE105" s="24">
        <f>ROUND(IF(AQ105="7",BI105,0),2)</f>
        <v>0</v>
      </c>
      <c r="AF105" s="24">
        <f>ROUND(IF(AQ105="2",BH105,0),2)</f>
        <v>0</v>
      </c>
      <c r="AG105" s="24">
        <f>ROUND(IF(AQ105="2",BI105,0),2)</f>
        <v>0</v>
      </c>
      <c r="AH105" s="24">
        <f>ROUND(IF(AQ105="0",BJ105,0),2)</f>
        <v>0</v>
      </c>
      <c r="AI105" s="10" t="s">
        <v>49</v>
      </c>
      <c r="AJ105" s="24">
        <f>IF(AN105=0,J105,0)</f>
        <v>0</v>
      </c>
      <c r="AK105" s="24">
        <f>IF(AN105=12,J105,0)</f>
        <v>0</v>
      </c>
      <c r="AL105" s="24">
        <f>IF(AN105=21,J105,0)</f>
        <v>0</v>
      </c>
      <c r="AN105" s="24">
        <v>12</v>
      </c>
      <c r="AO105" s="24">
        <f>G105*0.751538462</f>
        <v>0</v>
      </c>
      <c r="AP105" s="24">
        <f>G105*(1-0.751538462)</f>
        <v>0</v>
      </c>
      <c r="AQ105" s="26" t="s">
        <v>74</v>
      </c>
      <c r="AV105" s="24">
        <f>ROUND(AW105+AX105,2)</f>
        <v>0</v>
      </c>
      <c r="AW105" s="24">
        <f>ROUND(F105*AO105,2)</f>
        <v>0</v>
      </c>
      <c r="AX105" s="24">
        <f>ROUND(F105*AP105,2)</f>
        <v>0</v>
      </c>
      <c r="AY105" s="26" t="s">
        <v>248</v>
      </c>
      <c r="AZ105" s="26" t="s">
        <v>116</v>
      </c>
      <c r="BA105" s="10" t="s">
        <v>59</v>
      </c>
      <c r="BC105" s="24">
        <f>AW105+AX105</f>
        <v>0</v>
      </c>
      <c r="BD105" s="24">
        <f>G105/(100-BE105)*100</f>
        <v>0</v>
      </c>
      <c r="BE105" s="24">
        <v>0</v>
      </c>
      <c r="BF105" s="24">
        <f>105</f>
        <v>105</v>
      </c>
      <c r="BH105" s="24">
        <f>F105*AO105</f>
        <v>0</v>
      </c>
      <c r="BI105" s="24">
        <f>F105*AP105</f>
        <v>0</v>
      </c>
      <c r="BJ105" s="24">
        <f>F105*G105</f>
        <v>0</v>
      </c>
      <c r="BK105" s="24"/>
      <c r="BL105" s="24">
        <v>765</v>
      </c>
      <c r="BW105" s="24">
        <v>12</v>
      </c>
      <c r="BX105" s="4" t="s">
        <v>247</v>
      </c>
    </row>
    <row r="106" spans="1:76" ht="92.4" x14ac:dyDescent="0.3">
      <c r="A106" s="27"/>
      <c r="B106" s="28" t="s">
        <v>63</v>
      </c>
      <c r="C106" s="95" t="s">
        <v>249</v>
      </c>
      <c r="D106" s="96"/>
      <c r="E106" s="96"/>
      <c r="F106" s="96"/>
      <c r="G106" s="96"/>
      <c r="H106" s="96"/>
      <c r="I106" s="96"/>
      <c r="J106" s="96"/>
      <c r="K106" s="97"/>
      <c r="BX106" s="29" t="s">
        <v>249</v>
      </c>
    </row>
    <row r="107" spans="1:76" ht="14.4" x14ac:dyDescent="0.3">
      <c r="A107" s="2" t="s">
        <v>250</v>
      </c>
      <c r="B107" s="3" t="s">
        <v>246</v>
      </c>
      <c r="C107" s="89" t="s">
        <v>251</v>
      </c>
      <c r="D107" s="90"/>
      <c r="E107" s="3" t="s">
        <v>55</v>
      </c>
      <c r="F107" s="24">
        <v>1030</v>
      </c>
      <c r="G107" s="24">
        <v>0</v>
      </c>
      <c r="H107" s="24">
        <f>ROUND(F107*AO107,2)</f>
        <v>0</v>
      </c>
      <c r="I107" s="24">
        <f>ROUND(F107*AP107,2)</f>
        <v>0</v>
      </c>
      <c r="J107" s="24">
        <f>ROUND(F107*G107,2)</f>
        <v>0</v>
      </c>
      <c r="K107" s="25" t="s">
        <v>56</v>
      </c>
      <c r="Z107" s="24">
        <f>ROUND(IF(AQ107="5",BJ107,0),2)</f>
        <v>0</v>
      </c>
      <c r="AB107" s="24">
        <f>ROUND(IF(AQ107="1",BH107,0),2)</f>
        <v>0</v>
      </c>
      <c r="AC107" s="24">
        <f>ROUND(IF(AQ107="1",BI107,0),2)</f>
        <v>0</v>
      </c>
      <c r="AD107" s="24">
        <f>ROUND(IF(AQ107="7",BH107,0),2)</f>
        <v>0</v>
      </c>
      <c r="AE107" s="24">
        <f>ROUND(IF(AQ107="7",BI107,0),2)</f>
        <v>0</v>
      </c>
      <c r="AF107" s="24">
        <f>ROUND(IF(AQ107="2",BH107,0),2)</f>
        <v>0</v>
      </c>
      <c r="AG107" s="24">
        <f>ROUND(IF(AQ107="2",BI107,0),2)</f>
        <v>0</v>
      </c>
      <c r="AH107" s="24">
        <f>ROUND(IF(AQ107="0",BJ107,0),2)</f>
        <v>0</v>
      </c>
      <c r="AI107" s="10" t="s">
        <v>49</v>
      </c>
      <c r="AJ107" s="24">
        <f>IF(AN107=0,J107,0)</f>
        <v>0</v>
      </c>
      <c r="AK107" s="24">
        <f>IF(AN107=12,J107,0)</f>
        <v>0</v>
      </c>
      <c r="AL107" s="24">
        <f>IF(AN107=21,J107,0)</f>
        <v>0</v>
      </c>
      <c r="AN107" s="24">
        <v>12</v>
      </c>
      <c r="AO107" s="24">
        <f>G107*0.751538462</f>
        <v>0</v>
      </c>
      <c r="AP107" s="24">
        <f>G107*(1-0.751538462)</f>
        <v>0</v>
      </c>
      <c r="AQ107" s="26" t="s">
        <v>74</v>
      </c>
      <c r="AV107" s="24">
        <f>ROUND(AW107+AX107,2)</f>
        <v>0</v>
      </c>
      <c r="AW107" s="24">
        <f>ROUND(F107*AO107,2)</f>
        <v>0</v>
      </c>
      <c r="AX107" s="24">
        <f>ROUND(F107*AP107,2)</f>
        <v>0</v>
      </c>
      <c r="AY107" s="26" t="s">
        <v>248</v>
      </c>
      <c r="AZ107" s="26" t="s">
        <v>116</v>
      </c>
      <c r="BA107" s="10" t="s">
        <v>59</v>
      </c>
      <c r="BC107" s="24">
        <f>AW107+AX107</f>
        <v>0</v>
      </c>
      <c r="BD107" s="24">
        <f>G107/(100-BE107)*100</f>
        <v>0</v>
      </c>
      <c r="BE107" s="24">
        <v>0</v>
      </c>
      <c r="BF107" s="24">
        <f>107</f>
        <v>107</v>
      </c>
      <c r="BH107" s="24">
        <f>F107*AO107</f>
        <v>0</v>
      </c>
      <c r="BI107" s="24">
        <f>F107*AP107</f>
        <v>0</v>
      </c>
      <c r="BJ107" s="24">
        <f>F107*G107</f>
        <v>0</v>
      </c>
      <c r="BK107" s="24"/>
      <c r="BL107" s="24">
        <v>765</v>
      </c>
      <c r="BW107" s="24">
        <v>12</v>
      </c>
      <c r="BX107" s="4" t="s">
        <v>251</v>
      </c>
    </row>
    <row r="108" spans="1:76" ht="92.4" x14ac:dyDescent="0.3">
      <c r="A108" s="27"/>
      <c r="B108" s="28" t="s">
        <v>63</v>
      </c>
      <c r="C108" s="95" t="s">
        <v>249</v>
      </c>
      <c r="D108" s="96"/>
      <c r="E108" s="96"/>
      <c r="F108" s="96"/>
      <c r="G108" s="96"/>
      <c r="H108" s="96"/>
      <c r="I108" s="96"/>
      <c r="J108" s="96"/>
      <c r="K108" s="97"/>
      <c r="BX108" s="29" t="s">
        <v>249</v>
      </c>
    </row>
    <row r="109" spans="1:76" ht="14.4" x14ac:dyDescent="0.3">
      <c r="A109" s="30" t="s">
        <v>49</v>
      </c>
      <c r="B109" s="31" t="s">
        <v>252</v>
      </c>
      <c r="C109" s="91" t="s">
        <v>253</v>
      </c>
      <c r="D109" s="92"/>
      <c r="E109" s="32" t="s">
        <v>4</v>
      </c>
      <c r="F109" s="32" t="s">
        <v>4</v>
      </c>
      <c r="G109" s="32" t="s">
        <v>4</v>
      </c>
      <c r="H109" s="1">
        <f>SUM(H110:H110)</f>
        <v>0</v>
      </c>
      <c r="I109" s="1">
        <f>SUM(I110:I110)</f>
        <v>0</v>
      </c>
      <c r="J109" s="1">
        <f>SUM(J110:J110)</f>
        <v>0</v>
      </c>
      <c r="K109" s="33" t="s">
        <v>49</v>
      </c>
      <c r="AI109" s="10" t="s">
        <v>49</v>
      </c>
      <c r="AS109" s="1">
        <f>SUM(AJ110:AJ110)</f>
        <v>0</v>
      </c>
      <c r="AT109" s="1">
        <f>SUM(AK110:AK110)</f>
        <v>0</v>
      </c>
      <c r="AU109" s="1">
        <f>SUM(AL110:AL110)</f>
        <v>0</v>
      </c>
    </row>
    <row r="110" spans="1:76" ht="14.4" x14ac:dyDescent="0.3">
      <c r="A110" s="2" t="s">
        <v>254</v>
      </c>
      <c r="B110" s="3" t="s">
        <v>255</v>
      </c>
      <c r="C110" s="89" t="s">
        <v>256</v>
      </c>
      <c r="D110" s="90"/>
      <c r="E110" s="3" t="s">
        <v>96</v>
      </c>
      <c r="F110" s="24">
        <v>2</v>
      </c>
      <c r="G110" s="24">
        <v>0</v>
      </c>
      <c r="H110" s="24">
        <f>ROUND(F110*AO110,2)</f>
        <v>0</v>
      </c>
      <c r="I110" s="24">
        <f>ROUND(F110*AP110,2)</f>
        <v>0</v>
      </c>
      <c r="J110" s="24">
        <f>ROUND(F110*G110,2)</f>
        <v>0</v>
      </c>
      <c r="K110" s="25" t="s">
        <v>56</v>
      </c>
      <c r="Z110" s="24">
        <f>ROUND(IF(AQ110="5",BJ110,0),2)</f>
        <v>0</v>
      </c>
      <c r="AB110" s="24">
        <f>ROUND(IF(AQ110="1",BH110,0),2)</f>
        <v>0</v>
      </c>
      <c r="AC110" s="24">
        <f>ROUND(IF(AQ110="1",BI110,0),2)</f>
        <v>0</v>
      </c>
      <c r="AD110" s="24">
        <f>ROUND(IF(AQ110="7",BH110,0),2)</f>
        <v>0</v>
      </c>
      <c r="AE110" s="24">
        <f>ROUND(IF(AQ110="7",BI110,0),2)</f>
        <v>0</v>
      </c>
      <c r="AF110" s="24">
        <f>ROUND(IF(AQ110="2",BH110,0),2)</f>
        <v>0</v>
      </c>
      <c r="AG110" s="24">
        <f>ROUND(IF(AQ110="2",BI110,0),2)</f>
        <v>0</v>
      </c>
      <c r="AH110" s="24">
        <f>ROUND(IF(AQ110="0",BJ110,0),2)</f>
        <v>0</v>
      </c>
      <c r="AI110" s="10" t="s">
        <v>49</v>
      </c>
      <c r="AJ110" s="24">
        <f>IF(AN110=0,J110,0)</f>
        <v>0</v>
      </c>
      <c r="AK110" s="24">
        <f>IF(AN110=12,J110,0)</f>
        <v>0</v>
      </c>
      <c r="AL110" s="24">
        <f>IF(AN110=21,J110,0)</f>
        <v>0</v>
      </c>
      <c r="AN110" s="24">
        <v>12</v>
      </c>
      <c r="AO110" s="24">
        <f>G110*0.196204294</f>
        <v>0</v>
      </c>
      <c r="AP110" s="24">
        <f>G110*(1-0.196204294)</f>
        <v>0</v>
      </c>
      <c r="AQ110" s="26" t="s">
        <v>74</v>
      </c>
      <c r="AV110" s="24">
        <f>ROUND(AW110+AX110,2)</f>
        <v>0</v>
      </c>
      <c r="AW110" s="24">
        <f>ROUND(F110*AO110,2)</f>
        <v>0</v>
      </c>
      <c r="AX110" s="24">
        <f>ROUND(F110*AP110,2)</f>
        <v>0</v>
      </c>
      <c r="AY110" s="26" t="s">
        <v>257</v>
      </c>
      <c r="AZ110" s="26" t="s">
        <v>116</v>
      </c>
      <c r="BA110" s="10" t="s">
        <v>59</v>
      </c>
      <c r="BC110" s="24">
        <f>AW110+AX110</f>
        <v>0</v>
      </c>
      <c r="BD110" s="24">
        <f>G110/(100-BE110)*100</f>
        <v>0</v>
      </c>
      <c r="BE110" s="24">
        <v>0</v>
      </c>
      <c r="BF110" s="24">
        <f>110</f>
        <v>110</v>
      </c>
      <c r="BH110" s="24">
        <f>F110*AO110</f>
        <v>0</v>
      </c>
      <c r="BI110" s="24">
        <f>F110*AP110</f>
        <v>0</v>
      </c>
      <c r="BJ110" s="24">
        <f>F110*G110</f>
        <v>0</v>
      </c>
      <c r="BK110" s="24"/>
      <c r="BL110" s="24">
        <v>766</v>
      </c>
      <c r="BW110" s="24">
        <v>12</v>
      </c>
      <c r="BX110" s="4" t="s">
        <v>256</v>
      </c>
    </row>
    <row r="111" spans="1:76" ht="26.4" x14ac:dyDescent="0.3">
      <c r="A111" s="27"/>
      <c r="B111" s="28" t="s">
        <v>63</v>
      </c>
      <c r="C111" s="95" t="s">
        <v>741</v>
      </c>
      <c r="D111" s="96"/>
      <c r="E111" s="96"/>
      <c r="F111" s="96"/>
      <c r="G111" s="96"/>
      <c r="H111" s="96"/>
      <c r="I111" s="96"/>
      <c r="J111" s="96"/>
      <c r="K111" s="97"/>
      <c r="BX111" s="29" t="s">
        <v>258</v>
      </c>
    </row>
    <row r="112" spans="1:76" ht="14.4" x14ac:dyDescent="0.3">
      <c r="A112" s="30" t="s">
        <v>49</v>
      </c>
      <c r="B112" s="31" t="s">
        <v>259</v>
      </c>
      <c r="C112" s="91" t="s">
        <v>260</v>
      </c>
      <c r="D112" s="92"/>
      <c r="E112" s="32" t="s">
        <v>4</v>
      </c>
      <c r="F112" s="32" t="s">
        <v>4</v>
      </c>
      <c r="G112" s="32" t="s">
        <v>4</v>
      </c>
      <c r="H112" s="1">
        <f>SUM(H113:H117)</f>
        <v>0</v>
      </c>
      <c r="I112" s="1">
        <f>SUM(I113:I117)</f>
        <v>0</v>
      </c>
      <c r="J112" s="1">
        <f>SUM(J113:J117)</f>
        <v>0</v>
      </c>
      <c r="K112" s="33" t="s">
        <v>49</v>
      </c>
      <c r="AI112" s="10" t="s">
        <v>49</v>
      </c>
      <c r="AS112" s="1">
        <f>SUM(AJ113:AJ117)</f>
        <v>0</v>
      </c>
      <c r="AT112" s="1">
        <f>SUM(AK113:AK117)</f>
        <v>0</v>
      </c>
      <c r="AU112" s="1">
        <f>SUM(AL113:AL117)</f>
        <v>0</v>
      </c>
    </row>
    <row r="113" spans="1:76" ht="26.4" x14ac:dyDescent="0.3">
      <c r="A113" s="2" t="s">
        <v>261</v>
      </c>
      <c r="B113" s="3" t="s">
        <v>262</v>
      </c>
      <c r="C113" s="89" t="s">
        <v>263</v>
      </c>
      <c r="D113" s="90"/>
      <c r="E113" s="3" t="s">
        <v>102</v>
      </c>
      <c r="F113" s="24">
        <v>2</v>
      </c>
      <c r="G113" s="24">
        <v>0</v>
      </c>
      <c r="H113" s="24">
        <f>ROUND(F113*AO113,2)</f>
        <v>0</v>
      </c>
      <c r="I113" s="24">
        <f>ROUND(F113*AP113,2)</f>
        <v>0</v>
      </c>
      <c r="J113" s="24">
        <f>ROUND(F113*G113,2)</f>
        <v>0</v>
      </c>
      <c r="K113" s="25" t="s">
        <v>56</v>
      </c>
      <c r="Z113" s="24">
        <f>ROUND(IF(AQ113="5",BJ113,0),2)</f>
        <v>0</v>
      </c>
      <c r="AB113" s="24">
        <f>ROUND(IF(AQ113="1",BH113,0),2)</f>
        <v>0</v>
      </c>
      <c r="AC113" s="24">
        <f>ROUND(IF(AQ113="1",BI113,0),2)</f>
        <v>0</v>
      </c>
      <c r="AD113" s="24">
        <f>ROUND(IF(AQ113="7",BH113,0),2)</f>
        <v>0</v>
      </c>
      <c r="AE113" s="24">
        <f>ROUND(IF(AQ113="7",BI113,0),2)</f>
        <v>0</v>
      </c>
      <c r="AF113" s="24">
        <f>ROUND(IF(AQ113="2",BH113,0),2)</f>
        <v>0</v>
      </c>
      <c r="AG113" s="24">
        <f>ROUND(IF(AQ113="2",BI113,0),2)</f>
        <v>0</v>
      </c>
      <c r="AH113" s="24">
        <f>ROUND(IF(AQ113="0",BJ113,0),2)</f>
        <v>0</v>
      </c>
      <c r="AI113" s="10" t="s">
        <v>49</v>
      </c>
      <c r="AJ113" s="24">
        <f>IF(AN113=0,J113,0)</f>
        <v>0</v>
      </c>
      <c r="AK113" s="24">
        <f>IF(AN113=12,J113,0)</f>
        <v>0</v>
      </c>
      <c r="AL113" s="24">
        <f>IF(AN113=21,J113,0)</f>
        <v>0</v>
      </c>
      <c r="AN113" s="24">
        <v>12</v>
      </c>
      <c r="AO113" s="24">
        <f>G113*0.488420641</f>
        <v>0</v>
      </c>
      <c r="AP113" s="24">
        <f>G113*(1-0.488420641)</f>
        <v>0</v>
      </c>
      <c r="AQ113" s="26" t="s">
        <v>74</v>
      </c>
      <c r="AV113" s="24">
        <f>ROUND(AW113+AX113,2)</f>
        <v>0</v>
      </c>
      <c r="AW113" s="24">
        <f>ROUND(F113*AO113,2)</f>
        <v>0</v>
      </c>
      <c r="AX113" s="24">
        <f>ROUND(F113*AP113,2)</f>
        <v>0</v>
      </c>
      <c r="AY113" s="26" t="s">
        <v>264</v>
      </c>
      <c r="AZ113" s="26" t="s">
        <v>116</v>
      </c>
      <c r="BA113" s="10" t="s">
        <v>59</v>
      </c>
      <c r="BC113" s="24">
        <f>AW113+AX113</f>
        <v>0</v>
      </c>
      <c r="BD113" s="24">
        <f>G113/(100-BE113)*100</f>
        <v>0</v>
      </c>
      <c r="BE113" s="24">
        <v>0</v>
      </c>
      <c r="BF113" s="24">
        <f>113</f>
        <v>113</v>
      </c>
      <c r="BH113" s="24">
        <f>F113*AO113</f>
        <v>0</v>
      </c>
      <c r="BI113" s="24">
        <f>F113*AP113</f>
        <v>0</v>
      </c>
      <c r="BJ113" s="24">
        <f>F113*G113</f>
        <v>0</v>
      </c>
      <c r="BK113" s="24"/>
      <c r="BL113" s="24">
        <v>767</v>
      </c>
      <c r="BW113" s="24">
        <v>12</v>
      </c>
      <c r="BX113" s="4" t="s">
        <v>263</v>
      </c>
    </row>
    <row r="114" spans="1:76" ht="14.4" x14ac:dyDescent="0.3">
      <c r="A114" s="2" t="s">
        <v>265</v>
      </c>
      <c r="B114" s="3" t="s">
        <v>266</v>
      </c>
      <c r="C114" s="89" t="s">
        <v>267</v>
      </c>
      <c r="D114" s="90"/>
      <c r="E114" s="3" t="s">
        <v>96</v>
      </c>
      <c r="F114" s="24">
        <v>1</v>
      </c>
      <c r="G114" s="24">
        <v>0</v>
      </c>
      <c r="H114" s="24">
        <f>ROUND(F114*AO114,2)</f>
        <v>0</v>
      </c>
      <c r="I114" s="24">
        <f>ROUND(F114*AP114,2)</f>
        <v>0</v>
      </c>
      <c r="J114" s="24">
        <f>ROUND(F114*G114,2)</f>
        <v>0</v>
      </c>
      <c r="K114" s="25" t="s">
        <v>56</v>
      </c>
      <c r="Z114" s="24">
        <f>ROUND(IF(AQ114="5",BJ114,0),2)</f>
        <v>0</v>
      </c>
      <c r="AB114" s="24">
        <f>ROUND(IF(AQ114="1",BH114,0),2)</f>
        <v>0</v>
      </c>
      <c r="AC114" s="24">
        <f>ROUND(IF(AQ114="1",BI114,0),2)</f>
        <v>0</v>
      </c>
      <c r="AD114" s="24">
        <f>ROUND(IF(AQ114="7",BH114,0),2)</f>
        <v>0</v>
      </c>
      <c r="AE114" s="24">
        <f>ROUND(IF(AQ114="7",BI114,0),2)</f>
        <v>0</v>
      </c>
      <c r="AF114" s="24">
        <f>ROUND(IF(AQ114="2",BH114,0),2)</f>
        <v>0</v>
      </c>
      <c r="AG114" s="24">
        <f>ROUND(IF(AQ114="2",BI114,0),2)</f>
        <v>0</v>
      </c>
      <c r="AH114" s="24">
        <f>ROUND(IF(AQ114="0",BJ114,0),2)</f>
        <v>0</v>
      </c>
      <c r="AI114" s="10" t="s">
        <v>49</v>
      </c>
      <c r="AJ114" s="24">
        <f>IF(AN114=0,J114,0)</f>
        <v>0</v>
      </c>
      <c r="AK114" s="24">
        <f>IF(AN114=12,J114,0)</f>
        <v>0</v>
      </c>
      <c r="AL114" s="24">
        <f>IF(AN114=21,J114,0)</f>
        <v>0</v>
      </c>
      <c r="AN114" s="24">
        <v>12</v>
      </c>
      <c r="AO114" s="24">
        <f>G114*0</f>
        <v>0</v>
      </c>
      <c r="AP114" s="24">
        <f>G114*(1-0)</f>
        <v>0</v>
      </c>
      <c r="AQ114" s="26" t="s">
        <v>74</v>
      </c>
      <c r="AV114" s="24">
        <f>ROUND(AW114+AX114,2)</f>
        <v>0</v>
      </c>
      <c r="AW114" s="24">
        <f>ROUND(F114*AO114,2)</f>
        <v>0</v>
      </c>
      <c r="AX114" s="24">
        <f>ROUND(F114*AP114,2)</f>
        <v>0</v>
      </c>
      <c r="AY114" s="26" t="s">
        <v>264</v>
      </c>
      <c r="AZ114" s="26" t="s">
        <v>116</v>
      </c>
      <c r="BA114" s="10" t="s">
        <v>59</v>
      </c>
      <c r="BC114" s="24">
        <f>AW114+AX114</f>
        <v>0</v>
      </c>
      <c r="BD114" s="24">
        <f>G114/(100-BE114)*100</f>
        <v>0</v>
      </c>
      <c r="BE114" s="24">
        <v>0</v>
      </c>
      <c r="BF114" s="24">
        <f>114</f>
        <v>114</v>
      </c>
      <c r="BH114" s="24">
        <f>F114*AO114</f>
        <v>0</v>
      </c>
      <c r="BI114" s="24">
        <f>F114*AP114</f>
        <v>0</v>
      </c>
      <c r="BJ114" s="24">
        <f>F114*G114</f>
        <v>0</v>
      </c>
      <c r="BK114" s="24"/>
      <c r="BL114" s="24">
        <v>767</v>
      </c>
      <c r="BW114" s="24">
        <v>12</v>
      </c>
      <c r="BX114" s="4" t="s">
        <v>267</v>
      </c>
    </row>
    <row r="115" spans="1:76" ht="14.4" x14ac:dyDescent="0.3">
      <c r="A115" s="2" t="s">
        <v>268</v>
      </c>
      <c r="B115" s="3" t="s">
        <v>269</v>
      </c>
      <c r="C115" s="89" t="s">
        <v>270</v>
      </c>
      <c r="D115" s="90"/>
      <c r="E115" s="3" t="s">
        <v>96</v>
      </c>
      <c r="F115" s="24">
        <v>1</v>
      </c>
      <c r="G115" s="24">
        <v>0</v>
      </c>
      <c r="H115" s="24">
        <f>ROUND(F115*AO115,2)</f>
        <v>0</v>
      </c>
      <c r="I115" s="24">
        <f>ROUND(F115*AP115,2)</f>
        <v>0</v>
      </c>
      <c r="J115" s="24">
        <f>ROUND(F115*G115,2)</f>
        <v>0</v>
      </c>
      <c r="K115" s="25" t="s">
        <v>56</v>
      </c>
      <c r="Z115" s="24">
        <f>ROUND(IF(AQ115="5",BJ115,0),2)</f>
        <v>0</v>
      </c>
      <c r="AB115" s="24">
        <f>ROUND(IF(AQ115="1",BH115,0),2)</f>
        <v>0</v>
      </c>
      <c r="AC115" s="24">
        <f>ROUND(IF(AQ115="1",BI115,0),2)</f>
        <v>0</v>
      </c>
      <c r="AD115" s="24">
        <f>ROUND(IF(AQ115="7",BH115,0),2)</f>
        <v>0</v>
      </c>
      <c r="AE115" s="24">
        <f>ROUND(IF(AQ115="7",BI115,0),2)</f>
        <v>0</v>
      </c>
      <c r="AF115" s="24">
        <f>ROUND(IF(AQ115="2",BH115,0),2)</f>
        <v>0</v>
      </c>
      <c r="AG115" s="24">
        <f>ROUND(IF(AQ115="2",BI115,0),2)</f>
        <v>0</v>
      </c>
      <c r="AH115" s="24">
        <f>ROUND(IF(AQ115="0",BJ115,0),2)</f>
        <v>0</v>
      </c>
      <c r="AI115" s="10" t="s">
        <v>49</v>
      </c>
      <c r="AJ115" s="24">
        <f>IF(AN115=0,J115,0)</f>
        <v>0</v>
      </c>
      <c r="AK115" s="24">
        <f>IF(AN115=12,J115,0)</f>
        <v>0</v>
      </c>
      <c r="AL115" s="24">
        <f>IF(AN115=21,J115,0)</f>
        <v>0</v>
      </c>
      <c r="AN115" s="24">
        <v>12</v>
      </c>
      <c r="AO115" s="24">
        <f>G115*0.021281871</f>
        <v>0</v>
      </c>
      <c r="AP115" s="24">
        <f>G115*(1-0.021281871)</f>
        <v>0</v>
      </c>
      <c r="AQ115" s="26" t="s">
        <v>74</v>
      </c>
      <c r="AV115" s="24">
        <f>ROUND(AW115+AX115,2)</f>
        <v>0</v>
      </c>
      <c r="AW115" s="24">
        <f>ROUND(F115*AO115,2)</f>
        <v>0</v>
      </c>
      <c r="AX115" s="24">
        <f>ROUND(F115*AP115,2)</f>
        <v>0</v>
      </c>
      <c r="AY115" s="26" t="s">
        <v>264</v>
      </c>
      <c r="AZ115" s="26" t="s">
        <v>116</v>
      </c>
      <c r="BA115" s="10" t="s">
        <v>59</v>
      </c>
      <c r="BC115" s="24">
        <f>AW115+AX115</f>
        <v>0</v>
      </c>
      <c r="BD115" s="24">
        <f>G115/(100-BE115)*100</f>
        <v>0</v>
      </c>
      <c r="BE115" s="24">
        <v>0</v>
      </c>
      <c r="BF115" s="24">
        <f>115</f>
        <v>115</v>
      </c>
      <c r="BH115" s="24">
        <f>F115*AO115</f>
        <v>0</v>
      </c>
      <c r="BI115" s="24">
        <f>F115*AP115</f>
        <v>0</v>
      </c>
      <c r="BJ115" s="24">
        <f>F115*G115</f>
        <v>0</v>
      </c>
      <c r="BK115" s="24"/>
      <c r="BL115" s="24">
        <v>767</v>
      </c>
      <c r="BW115" s="24">
        <v>12</v>
      </c>
      <c r="BX115" s="4" t="s">
        <v>270</v>
      </c>
    </row>
    <row r="116" spans="1:76" ht="14.4" x14ac:dyDescent="0.3">
      <c r="A116" s="2" t="s">
        <v>271</v>
      </c>
      <c r="B116" s="3" t="s">
        <v>272</v>
      </c>
      <c r="C116" s="89" t="s">
        <v>273</v>
      </c>
      <c r="D116" s="90"/>
      <c r="E116" s="3" t="s">
        <v>96</v>
      </c>
      <c r="F116" s="24">
        <v>2</v>
      </c>
      <c r="G116" s="24">
        <v>0</v>
      </c>
      <c r="H116" s="24">
        <f>ROUND(F116*AO116,2)</f>
        <v>0</v>
      </c>
      <c r="I116" s="24">
        <f>ROUND(F116*AP116,2)</f>
        <v>0</v>
      </c>
      <c r="J116" s="24">
        <f>ROUND(F116*G116,2)</f>
        <v>0</v>
      </c>
      <c r="K116" s="25" t="s">
        <v>56</v>
      </c>
      <c r="Z116" s="24">
        <f>ROUND(IF(AQ116="5",BJ116,0),2)</f>
        <v>0</v>
      </c>
      <c r="AB116" s="24">
        <f>ROUND(IF(AQ116="1",BH116,0),2)</f>
        <v>0</v>
      </c>
      <c r="AC116" s="24">
        <f>ROUND(IF(AQ116="1",BI116,0),2)</f>
        <v>0</v>
      </c>
      <c r="AD116" s="24">
        <f>ROUND(IF(AQ116="7",BH116,0),2)</f>
        <v>0</v>
      </c>
      <c r="AE116" s="24">
        <f>ROUND(IF(AQ116="7",BI116,0),2)</f>
        <v>0</v>
      </c>
      <c r="AF116" s="24">
        <f>ROUND(IF(AQ116="2",BH116,0),2)</f>
        <v>0</v>
      </c>
      <c r="AG116" s="24">
        <f>ROUND(IF(AQ116="2",BI116,0),2)</f>
        <v>0</v>
      </c>
      <c r="AH116" s="24">
        <f>ROUND(IF(AQ116="0",BJ116,0),2)</f>
        <v>0</v>
      </c>
      <c r="AI116" s="10" t="s">
        <v>49</v>
      </c>
      <c r="AJ116" s="24">
        <f>IF(AN116=0,J116,0)</f>
        <v>0</v>
      </c>
      <c r="AK116" s="24">
        <f>IF(AN116=12,J116,0)</f>
        <v>0</v>
      </c>
      <c r="AL116" s="24">
        <f>IF(AN116=21,J116,0)</f>
        <v>0</v>
      </c>
      <c r="AN116" s="24">
        <v>12</v>
      </c>
      <c r="AO116" s="24">
        <f>G116*0.069588491</f>
        <v>0</v>
      </c>
      <c r="AP116" s="24">
        <f>G116*(1-0.069588491)</f>
        <v>0</v>
      </c>
      <c r="AQ116" s="26" t="s">
        <v>74</v>
      </c>
      <c r="AV116" s="24">
        <f>ROUND(AW116+AX116,2)</f>
        <v>0</v>
      </c>
      <c r="AW116" s="24">
        <f>ROUND(F116*AO116,2)</f>
        <v>0</v>
      </c>
      <c r="AX116" s="24">
        <f>ROUND(F116*AP116,2)</f>
        <v>0</v>
      </c>
      <c r="AY116" s="26" t="s">
        <v>264</v>
      </c>
      <c r="AZ116" s="26" t="s">
        <v>116</v>
      </c>
      <c r="BA116" s="10" t="s">
        <v>59</v>
      </c>
      <c r="BC116" s="24">
        <f>AW116+AX116</f>
        <v>0</v>
      </c>
      <c r="BD116" s="24">
        <f>G116/(100-BE116)*100</f>
        <v>0</v>
      </c>
      <c r="BE116" s="24">
        <v>0</v>
      </c>
      <c r="BF116" s="24">
        <f>116</f>
        <v>116</v>
      </c>
      <c r="BH116" s="24">
        <f>F116*AO116</f>
        <v>0</v>
      </c>
      <c r="BI116" s="24">
        <f>F116*AP116</f>
        <v>0</v>
      </c>
      <c r="BJ116" s="24">
        <f>F116*G116</f>
        <v>0</v>
      </c>
      <c r="BK116" s="24"/>
      <c r="BL116" s="24">
        <v>767</v>
      </c>
      <c r="BW116" s="24">
        <v>12</v>
      </c>
      <c r="BX116" s="4" t="s">
        <v>273</v>
      </c>
    </row>
    <row r="117" spans="1:76" ht="14.4" x14ac:dyDescent="0.3">
      <c r="A117" s="2" t="s">
        <v>274</v>
      </c>
      <c r="B117" s="3" t="s">
        <v>275</v>
      </c>
      <c r="C117" s="89" t="s">
        <v>276</v>
      </c>
      <c r="D117" s="90"/>
      <c r="E117" s="3" t="s">
        <v>277</v>
      </c>
      <c r="F117" s="24">
        <v>2</v>
      </c>
      <c r="G117" s="24">
        <v>0</v>
      </c>
      <c r="H117" s="24">
        <f>ROUND(F117*AO117,2)</f>
        <v>0</v>
      </c>
      <c r="I117" s="24">
        <f>ROUND(F117*AP117,2)</f>
        <v>0</v>
      </c>
      <c r="J117" s="24">
        <f>ROUND(F117*G117,2)</f>
        <v>0</v>
      </c>
      <c r="K117" s="25" t="s">
        <v>84</v>
      </c>
      <c r="Z117" s="24">
        <f>ROUND(IF(AQ117="5",BJ117,0),2)</f>
        <v>0</v>
      </c>
      <c r="AB117" s="24">
        <f>ROUND(IF(AQ117="1",BH117,0),2)</f>
        <v>0</v>
      </c>
      <c r="AC117" s="24">
        <f>ROUND(IF(AQ117="1",BI117,0),2)</f>
        <v>0</v>
      </c>
      <c r="AD117" s="24">
        <f>ROUND(IF(AQ117="7",BH117,0),2)</f>
        <v>0</v>
      </c>
      <c r="AE117" s="24">
        <f>ROUND(IF(AQ117="7",BI117,0),2)</f>
        <v>0</v>
      </c>
      <c r="AF117" s="24">
        <f>ROUND(IF(AQ117="2",BH117,0),2)</f>
        <v>0</v>
      </c>
      <c r="AG117" s="24">
        <f>ROUND(IF(AQ117="2",BI117,0),2)</f>
        <v>0</v>
      </c>
      <c r="AH117" s="24">
        <f>ROUND(IF(AQ117="0",BJ117,0),2)</f>
        <v>0</v>
      </c>
      <c r="AI117" s="10" t="s">
        <v>49</v>
      </c>
      <c r="AJ117" s="24">
        <f>IF(AN117=0,J117,0)</f>
        <v>0</v>
      </c>
      <c r="AK117" s="24">
        <f>IF(AN117=12,J117,0)</f>
        <v>0</v>
      </c>
      <c r="AL117" s="24">
        <f>IF(AN117=21,J117,0)</f>
        <v>0</v>
      </c>
      <c r="AN117" s="24">
        <v>12</v>
      </c>
      <c r="AO117" s="24">
        <f>G117*0.281213718</f>
        <v>0</v>
      </c>
      <c r="AP117" s="24">
        <f>G117*(1-0.281213718)</f>
        <v>0</v>
      </c>
      <c r="AQ117" s="26" t="s">
        <v>74</v>
      </c>
      <c r="AV117" s="24">
        <f>ROUND(AW117+AX117,2)</f>
        <v>0</v>
      </c>
      <c r="AW117" s="24">
        <f>ROUND(F117*AO117,2)</f>
        <v>0</v>
      </c>
      <c r="AX117" s="24">
        <f>ROUND(F117*AP117,2)</f>
        <v>0</v>
      </c>
      <c r="AY117" s="26" t="s">
        <v>264</v>
      </c>
      <c r="AZ117" s="26" t="s">
        <v>116</v>
      </c>
      <c r="BA117" s="10" t="s">
        <v>59</v>
      </c>
      <c r="BC117" s="24">
        <f>AW117+AX117</f>
        <v>0</v>
      </c>
      <c r="BD117" s="24">
        <f>G117/(100-BE117)*100</f>
        <v>0</v>
      </c>
      <c r="BE117" s="24">
        <v>0</v>
      </c>
      <c r="BF117" s="24">
        <f>117</f>
        <v>117</v>
      </c>
      <c r="BH117" s="24">
        <f>F117*AO117</f>
        <v>0</v>
      </c>
      <c r="BI117" s="24">
        <f>F117*AP117</f>
        <v>0</v>
      </c>
      <c r="BJ117" s="24">
        <f>F117*G117</f>
        <v>0</v>
      </c>
      <c r="BK117" s="24"/>
      <c r="BL117" s="24">
        <v>767</v>
      </c>
      <c r="BW117" s="24">
        <v>12</v>
      </c>
      <c r="BX117" s="4" t="s">
        <v>276</v>
      </c>
    </row>
    <row r="118" spans="1:76" ht="14.4" x14ac:dyDescent="0.3">
      <c r="A118" s="30" t="s">
        <v>49</v>
      </c>
      <c r="B118" s="31" t="s">
        <v>278</v>
      </c>
      <c r="C118" s="91" t="s">
        <v>279</v>
      </c>
      <c r="D118" s="92"/>
      <c r="E118" s="32" t="s">
        <v>4</v>
      </c>
      <c r="F118" s="32" t="s">
        <v>4</v>
      </c>
      <c r="G118" s="32" t="s">
        <v>4</v>
      </c>
      <c r="H118" s="1">
        <f>SUM(H119:H124)</f>
        <v>0</v>
      </c>
      <c r="I118" s="1">
        <f>SUM(I119:I124)</f>
        <v>0</v>
      </c>
      <c r="J118" s="1">
        <f>SUM(J119:J124)</f>
        <v>0</v>
      </c>
      <c r="K118" s="33" t="s">
        <v>49</v>
      </c>
      <c r="AI118" s="10" t="s">
        <v>49</v>
      </c>
      <c r="AS118" s="1">
        <f>SUM(AJ119:AJ124)</f>
        <v>0</v>
      </c>
      <c r="AT118" s="1">
        <f>SUM(AK119:AK124)</f>
        <v>0</v>
      </c>
      <c r="AU118" s="1">
        <f>SUM(AL119:AL124)</f>
        <v>0</v>
      </c>
    </row>
    <row r="119" spans="1:76" ht="14.4" x14ac:dyDescent="0.3">
      <c r="A119" s="2" t="s">
        <v>280</v>
      </c>
      <c r="B119" s="3" t="s">
        <v>281</v>
      </c>
      <c r="C119" s="89" t="s">
        <v>282</v>
      </c>
      <c r="D119" s="90"/>
      <c r="E119" s="3" t="s">
        <v>55</v>
      </c>
      <c r="F119" s="24">
        <v>345</v>
      </c>
      <c r="G119" s="24">
        <v>0</v>
      </c>
      <c r="H119" s="24">
        <f>ROUND(F119*AO119,2)</f>
        <v>0</v>
      </c>
      <c r="I119" s="24">
        <f>ROUND(F119*AP119,2)</f>
        <v>0</v>
      </c>
      <c r="J119" s="24">
        <f>ROUND(F119*G119,2)</f>
        <v>0</v>
      </c>
      <c r="K119" s="25" t="s">
        <v>56</v>
      </c>
      <c r="Z119" s="24">
        <f>ROUND(IF(AQ119="5",BJ119,0),2)</f>
        <v>0</v>
      </c>
      <c r="AB119" s="24">
        <f>ROUND(IF(AQ119="1",BH119,0),2)</f>
        <v>0</v>
      </c>
      <c r="AC119" s="24">
        <f>ROUND(IF(AQ119="1",BI119,0),2)</f>
        <v>0</v>
      </c>
      <c r="AD119" s="24">
        <f>ROUND(IF(AQ119="7",BH119,0),2)</f>
        <v>0</v>
      </c>
      <c r="AE119" s="24">
        <f>ROUND(IF(AQ119="7",BI119,0),2)</f>
        <v>0</v>
      </c>
      <c r="AF119" s="24">
        <f>ROUND(IF(AQ119="2",BH119,0),2)</f>
        <v>0</v>
      </c>
      <c r="AG119" s="24">
        <f>ROUND(IF(AQ119="2",BI119,0),2)</f>
        <v>0</v>
      </c>
      <c r="AH119" s="24">
        <f>ROUND(IF(AQ119="0",BJ119,0),2)</f>
        <v>0</v>
      </c>
      <c r="AI119" s="10" t="s">
        <v>49</v>
      </c>
      <c r="AJ119" s="24">
        <f>IF(AN119=0,J119,0)</f>
        <v>0</v>
      </c>
      <c r="AK119" s="24">
        <f>IF(AN119=12,J119,0)</f>
        <v>0</v>
      </c>
      <c r="AL119" s="24">
        <f>IF(AN119=21,J119,0)</f>
        <v>0</v>
      </c>
      <c r="AN119" s="24">
        <v>12</v>
      </c>
      <c r="AO119" s="24">
        <f>G119*0.218033101</f>
        <v>0</v>
      </c>
      <c r="AP119" s="24">
        <f>G119*(1-0.218033101)</f>
        <v>0</v>
      </c>
      <c r="AQ119" s="26" t="s">
        <v>74</v>
      </c>
      <c r="AV119" s="24">
        <f>ROUND(AW119+AX119,2)</f>
        <v>0</v>
      </c>
      <c r="AW119" s="24">
        <f>ROUND(F119*AO119,2)</f>
        <v>0</v>
      </c>
      <c r="AX119" s="24">
        <f>ROUND(F119*AP119,2)</f>
        <v>0</v>
      </c>
      <c r="AY119" s="26" t="s">
        <v>283</v>
      </c>
      <c r="AZ119" s="26" t="s">
        <v>284</v>
      </c>
      <c r="BA119" s="10" t="s">
        <v>59</v>
      </c>
      <c r="BC119" s="24">
        <f>AW119+AX119</f>
        <v>0</v>
      </c>
      <c r="BD119" s="24">
        <f>G119/(100-BE119)*100</f>
        <v>0</v>
      </c>
      <c r="BE119" s="24">
        <v>0</v>
      </c>
      <c r="BF119" s="24">
        <f>119</f>
        <v>119</v>
      </c>
      <c r="BH119" s="24">
        <f>F119*AO119</f>
        <v>0</v>
      </c>
      <c r="BI119" s="24">
        <f>F119*AP119</f>
        <v>0</v>
      </c>
      <c r="BJ119" s="24">
        <f>F119*G119</f>
        <v>0</v>
      </c>
      <c r="BK119" s="24"/>
      <c r="BL119" s="24">
        <v>783</v>
      </c>
      <c r="BW119" s="24">
        <v>12</v>
      </c>
      <c r="BX119" s="4" t="s">
        <v>282</v>
      </c>
    </row>
    <row r="120" spans="1:76" ht="14.4" x14ac:dyDescent="0.3">
      <c r="A120" s="2" t="s">
        <v>285</v>
      </c>
      <c r="B120" s="3" t="s">
        <v>286</v>
      </c>
      <c r="C120" s="89" t="s">
        <v>287</v>
      </c>
      <c r="D120" s="90"/>
      <c r="E120" s="3" t="s">
        <v>55</v>
      </c>
      <c r="F120" s="24">
        <v>345</v>
      </c>
      <c r="G120" s="24">
        <v>0</v>
      </c>
      <c r="H120" s="24">
        <f>ROUND(F120*AO120,2)</f>
        <v>0</v>
      </c>
      <c r="I120" s="24">
        <f>ROUND(F120*AP120,2)</f>
        <v>0</v>
      </c>
      <c r="J120" s="24">
        <f>ROUND(F120*G120,2)</f>
        <v>0</v>
      </c>
      <c r="K120" s="25" t="s">
        <v>56</v>
      </c>
      <c r="Z120" s="24">
        <f>ROUND(IF(AQ120="5",BJ120,0),2)</f>
        <v>0</v>
      </c>
      <c r="AB120" s="24">
        <f>ROUND(IF(AQ120="1",BH120,0),2)</f>
        <v>0</v>
      </c>
      <c r="AC120" s="24">
        <f>ROUND(IF(AQ120="1",BI120,0),2)</f>
        <v>0</v>
      </c>
      <c r="AD120" s="24">
        <f>ROUND(IF(AQ120="7",BH120,0),2)</f>
        <v>0</v>
      </c>
      <c r="AE120" s="24">
        <f>ROUND(IF(AQ120="7",BI120,0),2)</f>
        <v>0</v>
      </c>
      <c r="AF120" s="24">
        <f>ROUND(IF(AQ120="2",BH120,0),2)</f>
        <v>0</v>
      </c>
      <c r="AG120" s="24">
        <f>ROUND(IF(AQ120="2",BI120,0),2)</f>
        <v>0</v>
      </c>
      <c r="AH120" s="24">
        <f>ROUND(IF(AQ120="0",BJ120,0),2)</f>
        <v>0</v>
      </c>
      <c r="AI120" s="10" t="s">
        <v>49</v>
      </c>
      <c r="AJ120" s="24">
        <f>IF(AN120=0,J120,0)</f>
        <v>0</v>
      </c>
      <c r="AK120" s="24">
        <f>IF(AN120=12,J120,0)</f>
        <v>0</v>
      </c>
      <c r="AL120" s="24">
        <f>IF(AN120=21,J120,0)</f>
        <v>0</v>
      </c>
      <c r="AN120" s="24">
        <v>12</v>
      </c>
      <c r="AO120" s="24">
        <f>G120*0.157538051</f>
        <v>0</v>
      </c>
      <c r="AP120" s="24">
        <f>G120*(1-0.157538051)</f>
        <v>0</v>
      </c>
      <c r="AQ120" s="26" t="s">
        <v>74</v>
      </c>
      <c r="AV120" s="24">
        <f>ROUND(AW120+AX120,2)</f>
        <v>0</v>
      </c>
      <c r="AW120" s="24">
        <f>ROUND(F120*AO120,2)</f>
        <v>0</v>
      </c>
      <c r="AX120" s="24">
        <f>ROUND(F120*AP120,2)</f>
        <v>0</v>
      </c>
      <c r="AY120" s="26" t="s">
        <v>283</v>
      </c>
      <c r="AZ120" s="26" t="s">
        <v>284</v>
      </c>
      <c r="BA120" s="10" t="s">
        <v>59</v>
      </c>
      <c r="BC120" s="24">
        <f>AW120+AX120</f>
        <v>0</v>
      </c>
      <c r="BD120" s="24">
        <f>G120/(100-BE120)*100</f>
        <v>0</v>
      </c>
      <c r="BE120" s="24">
        <v>0</v>
      </c>
      <c r="BF120" s="24">
        <f>120</f>
        <v>120</v>
      </c>
      <c r="BH120" s="24">
        <f>F120*AO120</f>
        <v>0</v>
      </c>
      <c r="BI120" s="24">
        <f>F120*AP120</f>
        <v>0</v>
      </c>
      <c r="BJ120" s="24">
        <f>F120*G120</f>
        <v>0</v>
      </c>
      <c r="BK120" s="24"/>
      <c r="BL120" s="24">
        <v>783</v>
      </c>
      <c r="BW120" s="24">
        <v>12</v>
      </c>
      <c r="BX120" s="4" t="s">
        <v>287</v>
      </c>
    </row>
    <row r="121" spans="1:76" ht="14.4" x14ac:dyDescent="0.3">
      <c r="A121" s="2" t="s">
        <v>288</v>
      </c>
      <c r="B121" s="3" t="s">
        <v>286</v>
      </c>
      <c r="C121" s="89" t="s">
        <v>289</v>
      </c>
      <c r="D121" s="90"/>
      <c r="E121" s="3" t="s">
        <v>55</v>
      </c>
      <c r="F121" s="24">
        <v>1960</v>
      </c>
      <c r="G121" s="24">
        <v>0</v>
      </c>
      <c r="H121" s="24">
        <f>ROUND(F121*AO121,2)</f>
        <v>0</v>
      </c>
      <c r="I121" s="24">
        <f>ROUND(F121*AP121,2)</f>
        <v>0</v>
      </c>
      <c r="J121" s="24">
        <f>ROUND(F121*G121,2)</f>
        <v>0</v>
      </c>
      <c r="K121" s="25" t="s">
        <v>56</v>
      </c>
      <c r="Z121" s="24">
        <f>ROUND(IF(AQ121="5",BJ121,0),2)</f>
        <v>0</v>
      </c>
      <c r="AB121" s="24">
        <f>ROUND(IF(AQ121="1",BH121,0),2)</f>
        <v>0</v>
      </c>
      <c r="AC121" s="24">
        <f>ROUND(IF(AQ121="1",BI121,0),2)</f>
        <v>0</v>
      </c>
      <c r="AD121" s="24">
        <f>ROUND(IF(AQ121="7",BH121,0),2)</f>
        <v>0</v>
      </c>
      <c r="AE121" s="24">
        <f>ROUND(IF(AQ121="7",BI121,0),2)</f>
        <v>0</v>
      </c>
      <c r="AF121" s="24">
        <f>ROUND(IF(AQ121="2",BH121,0),2)</f>
        <v>0</v>
      </c>
      <c r="AG121" s="24">
        <f>ROUND(IF(AQ121="2",BI121,0),2)</f>
        <v>0</v>
      </c>
      <c r="AH121" s="24">
        <f>ROUND(IF(AQ121="0",BJ121,0),2)</f>
        <v>0</v>
      </c>
      <c r="AI121" s="10" t="s">
        <v>49</v>
      </c>
      <c r="AJ121" s="24">
        <f>IF(AN121=0,J121,0)</f>
        <v>0</v>
      </c>
      <c r="AK121" s="24">
        <f>IF(AN121=12,J121,0)</f>
        <v>0</v>
      </c>
      <c r="AL121" s="24">
        <f>IF(AN121=21,J121,0)</f>
        <v>0</v>
      </c>
      <c r="AN121" s="24">
        <v>12</v>
      </c>
      <c r="AO121" s="24">
        <f>G121*0.157538051</f>
        <v>0</v>
      </c>
      <c r="AP121" s="24">
        <f>G121*(1-0.157538051)</f>
        <v>0</v>
      </c>
      <c r="AQ121" s="26" t="s">
        <v>74</v>
      </c>
      <c r="AV121" s="24">
        <f>ROUND(AW121+AX121,2)</f>
        <v>0</v>
      </c>
      <c r="AW121" s="24">
        <f>ROUND(F121*AO121,2)</f>
        <v>0</v>
      </c>
      <c r="AX121" s="24">
        <f>ROUND(F121*AP121,2)</f>
        <v>0</v>
      </c>
      <c r="AY121" s="26" t="s">
        <v>283</v>
      </c>
      <c r="AZ121" s="26" t="s">
        <v>284</v>
      </c>
      <c r="BA121" s="10" t="s">
        <v>59</v>
      </c>
      <c r="BC121" s="24">
        <f>AW121+AX121</f>
        <v>0</v>
      </c>
      <c r="BD121" s="24">
        <f>G121/(100-BE121)*100</f>
        <v>0</v>
      </c>
      <c r="BE121" s="24">
        <v>0</v>
      </c>
      <c r="BF121" s="24">
        <f>121</f>
        <v>121</v>
      </c>
      <c r="BH121" s="24">
        <f>F121*AO121</f>
        <v>0</v>
      </c>
      <c r="BI121" s="24">
        <f>F121*AP121</f>
        <v>0</v>
      </c>
      <c r="BJ121" s="24">
        <f>F121*G121</f>
        <v>0</v>
      </c>
      <c r="BK121" s="24"/>
      <c r="BL121" s="24">
        <v>783</v>
      </c>
      <c r="BW121" s="24">
        <v>12</v>
      </c>
      <c r="BX121" s="4" t="s">
        <v>289</v>
      </c>
    </row>
    <row r="122" spans="1:76" ht="52.8" x14ac:dyDescent="0.3">
      <c r="A122" s="27"/>
      <c r="B122" s="28" t="s">
        <v>63</v>
      </c>
      <c r="C122" s="95" t="s">
        <v>290</v>
      </c>
      <c r="D122" s="96"/>
      <c r="E122" s="96"/>
      <c r="F122" s="96"/>
      <c r="G122" s="96"/>
      <c r="H122" s="96"/>
      <c r="I122" s="96"/>
      <c r="J122" s="96"/>
      <c r="K122" s="97"/>
      <c r="BX122" s="29" t="s">
        <v>290</v>
      </c>
    </row>
    <row r="123" spans="1:76" ht="14.4" x14ac:dyDescent="0.3">
      <c r="A123" s="2" t="s">
        <v>291</v>
      </c>
      <c r="B123" s="3" t="s">
        <v>292</v>
      </c>
      <c r="C123" s="89" t="s">
        <v>293</v>
      </c>
      <c r="D123" s="90"/>
      <c r="E123" s="3" t="s">
        <v>55</v>
      </c>
      <c r="F123" s="24">
        <v>134</v>
      </c>
      <c r="G123" s="24">
        <v>0</v>
      </c>
      <c r="H123" s="24">
        <f>ROUND(F123*AO123,2)</f>
        <v>0</v>
      </c>
      <c r="I123" s="24">
        <f>ROUND(F123*AP123,2)</f>
        <v>0</v>
      </c>
      <c r="J123" s="24">
        <f>ROUND(F123*G123,2)</f>
        <v>0</v>
      </c>
      <c r="K123" s="25" t="s">
        <v>56</v>
      </c>
      <c r="Z123" s="24">
        <f>ROUND(IF(AQ123="5",BJ123,0),2)</f>
        <v>0</v>
      </c>
      <c r="AB123" s="24">
        <f>ROUND(IF(AQ123="1",BH123,0),2)</f>
        <v>0</v>
      </c>
      <c r="AC123" s="24">
        <f>ROUND(IF(AQ123="1",BI123,0),2)</f>
        <v>0</v>
      </c>
      <c r="AD123" s="24">
        <f>ROUND(IF(AQ123="7",BH123,0),2)</f>
        <v>0</v>
      </c>
      <c r="AE123" s="24">
        <f>ROUND(IF(AQ123="7",BI123,0),2)</f>
        <v>0</v>
      </c>
      <c r="AF123" s="24">
        <f>ROUND(IF(AQ123="2",BH123,0),2)</f>
        <v>0</v>
      </c>
      <c r="AG123" s="24">
        <f>ROUND(IF(AQ123="2",BI123,0),2)</f>
        <v>0</v>
      </c>
      <c r="AH123" s="24">
        <f>ROUND(IF(AQ123="0",BJ123,0),2)</f>
        <v>0</v>
      </c>
      <c r="AI123" s="10" t="s">
        <v>49</v>
      </c>
      <c r="AJ123" s="24">
        <f>IF(AN123=0,J123,0)</f>
        <v>0</v>
      </c>
      <c r="AK123" s="24">
        <f>IF(AN123=12,J123,0)</f>
        <v>0</v>
      </c>
      <c r="AL123" s="24">
        <f>IF(AN123=21,J123,0)</f>
        <v>0</v>
      </c>
      <c r="AN123" s="24">
        <v>12</v>
      </c>
      <c r="AO123" s="24">
        <f>G123*0.04524181</f>
        <v>0</v>
      </c>
      <c r="AP123" s="24">
        <f>G123*(1-0.04524181)</f>
        <v>0</v>
      </c>
      <c r="AQ123" s="26" t="s">
        <v>74</v>
      </c>
      <c r="AV123" s="24">
        <f>ROUND(AW123+AX123,2)</f>
        <v>0</v>
      </c>
      <c r="AW123" s="24">
        <f>ROUND(F123*AO123,2)</f>
        <v>0</v>
      </c>
      <c r="AX123" s="24">
        <f>ROUND(F123*AP123,2)</f>
        <v>0</v>
      </c>
      <c r="AY123" s="26" t="s">
        <v>283</v>
      </c>
      <c r="AZ123" s="26" t="s">
        <v>284</v>
      </c>
      <c r="BA123" s="10" t="s">
        <v>59</v>
      </c>
      <c r="BC123" s="24">
        <f>AW123+AX123</f>
        <v>0</v>
      </c>
      <c r="BD123" s="24">
        <f>G123/(100-BE123)*100</f>
        <v>0</v>
      </c>
      <c r="BE123" s="24">
        <v>0</v>
      </c>
      <c r="BF123" s="24">
        <f>123</f>
        <v>123</v>
      </c>
      <c r="BH123" s="24">
        <f>F123*AO123</f>
        <v>0</v>
      </c>
      <c r="BI123" s="24">
        <f>F123*AP123</f>
        <v>0</v>
      </c>
      <c r="BJ123" s="24">
        <f>F123*G123</f>
        <v>0</v>
      </c>
      <c r="BK123" s="24"/>
      <c r="BL123" s="24">
        <v>783</v>
      </c>
      <c r="BW123" s="24">
        <v>12</v>
      </c>
      <c r="BX123" s="4" t="s">
        <v>293</v>
      </c>
    </row>
    <row r="124" spans="1:76" ht="14.4" x14ac:dyDescent="0.3">
      <c r="A124" s="2" t="s">
        <v>294</v>
      </c>
      <c r="B124" s="3" t="s">
        <v>295</v>
      </c>
      <c r="C124" s="89" t="s">
        <v>296</v>
      </c>
      <c r="D124" s="90"/>
      <c r="E124" s="3" t="s">
        <v>55</v>
      </c>
      <c r="F124" s="24">
        <v>146</v>
      </c>
      <c r="G124" s="24">
        <v>0</v>
      </c>
      <c r="H124" s="24">
        <f>ROUND(F124*AO124,2)</f>
        <v>0</v>
      </c>
      <c r="I124" s="24">
        <f>ROUND(F124*AP124,2)</f>
        <v>0</v>
      </c>
      <c r="J124" s="24">
        <f>ROUND(F124*G124,2)</f>
        <v>0</v>
      </c>
      <c r="K124" s="25" t="s">
        <v>56</v>
      </c>
      <c r="Z124" s="24">
        <f>ROUND(IF(AQ124="5",BJ124,0),2)</f>
        <v>0</v>
      </c>
      <c r="AB124" s="24">
        <f>ROUND(IF(AQ124="1",BH124,0),2)</f>
        <v>0</v>
      </c>
      <c r="AC124" s="24">
        <f>ROUND(IF(AQ124="1",BI124,0),2)</f>
        <v>0</v>
      </c>
      <c r="AD124" s="24">
        <f>ROUND(IF(AQ124="7",BH124,0),2)</f>
        <v>0</v>
      </c>
      <c r="AE124" s="24">
        <f>ROUND(IF(AQ124="7",BI124,0),2)</f>
        <v>0</v>
      </c>
      <c r="AF124" s="24">
        <f>ROUND(IF(AQ124="2",BH124,0),2)</f>
        <v>0</v>
      </c>
      <c r="AG124" s="24">
        <f>ROUND(IF(AQ124="2",BI124,0),2)</f>
        <v>0</v>
      </c>
      <c r="AH124" s="24">
        <f>ROUND(IF(AQ124="0",BJ124,0),2)</f>
        <v>0</v>
      </c>
      <c r="AI124" s="10" t="s">
        <v>49</v>
      </c>
      <c r="AJ124" s="24">
        <f>IF(AN124=0,J124,0)</f>
        <v>0</v>
      </c>
      <c r="AK124" s="24">
        <f>IF(AN124=12,J124,0)</f>
        <v>0</v>
      </c>
      <c r="AL124" s="24">
        <f>IF(AN124=21,J124,0)</f>
        <v>0</v>
      </c>
      <c r="AN124" s="24">
        <v>12</v>
      </c>
      <c r="AO124" s="24">
        <f>G124*0.078357201</f>
        <v>0</v>
      </c>
      <c r="AP124" s="24">
        <f>G124*(1-0.078357201)</f>
        <v>0</v>
      </c>
      <c r="AQ124" s="26" t="s">
        <v>74</v>
      </c>
      <c r="AV124" s="24">
        <f>ROUND(AW124+AX124,2)</f>
        <v>0</v>
      </c>
      <c r="AW124" s="24">
        <f>ROUND(F124*AO124,2)</f>
        <v>0</v>
      </c>
      <c r="AX124" s="24">
        <f>ROUND(F124*AP124,2)</f>
        <v>0</v>
      </c>
      <c r="AY124" s="26" t="s">
        <v>283</v>
      </c>
      <c r="AZ124" s="26" t="s">
        <v>284</v>
      </c>
      <c r="BA124" s="10" t="s">
        <v>59</v>
      </c>
      <c r="BC124" s="24">
        <f>AW124+AX124</f>
        <v>0</v>
      </c>
      <c r="BD124" s="24">
        <f>G124/(100-BE124)*100</f>
        <v>0</v>
      </c>
      <c r="BE124" s="24">
        <v>0</v>
      </c>
      <c r="BF124" s="24">
        <f>124</f>
        <v>124</v>
      </c>
      <c r="BH124" s="24">
        <f>F124*AO124</f>
        <v>0</v>
      </c>
      <c r="BI124" s="24">
        <f>F124*AP124</f>
        <v>0</v>
      </c>
      <c r="BJ124" s="24">
        <f>F124*G124</f>
        <v>0</v>
      </c>
      <c r="BK124" s="24"/>
      <c r="BL124" s="24">
        <v>783</v>
      </c>
      <c r="BW124" s="24">
        <v>12</v>
      </c>
      <c r="BX124" s="4" t="s">
        <v>296</v>
      </c>
    </row>
    <row r="125" spans="1:76" ht="14.4" x14ac:dyDescent="0.3">
      <c r="A125" s="30" t="s">
        <v>49</v>
      </c>
      <c r="B125" s="31" t="s">
        <v>297</v>
      </c>
      <c r="C125" s="91" t="s">
        <v>298</v>
      </c>
      <c r="D125" s="92"/>
      <c r="E125" s="32" t="s">
        <v>4</v>
      </c>
      <c r="F125" s="32" t="s">
        <v>4</v>
      </c>
      <c r="G125" s="32" t="s">
        <v>4</v>
      </c>
      <c r="H125" s="1">
        <f>SUM(H126:H126)</f>
        <v>0</v>
      </c>
      <c r="I125" s="1">
        <f>SUM(I126:I126)</f>
        <v>0</v>
      </c>
      <c r="J125" s="1">
        <f>SUM(J126:J126)</f>
        <v>0</v>
      </c>
      <c r="K125" s="33" t="s">
        <v>49</v>
      </c>
      <c r="AI125" s="10" t="s">
        <v>49</v>
      </c>
      <c r="AS125" s="1">
        <f>SUM(AJ126:AJ126)</f>
        <v>0</v>
      </c>
      <c r="AT125" s="1">
        <f>SUM(AK126:AK126)</f>
        <v>0</v>
      </c>
      <c r="AU125" s="1">
        <f>SUM(AL126:AL126)</f>
        <v>0</v>
      </c>
    </row>
    <row r="126" spans="1:76" ht="14.4" x14ac:dyDescent="0.3">
      <c r="A126" s="2" t="s">
        <v>299</v>
      </c>
      <c r="B126" s="3" t="s">
        <v>300</v>
      </c>
      <c r="C126" s="89" t="s">
        <v>301</v>
      </c>
      <c r="D126" s="90"/>
      <c r="E126" s="3" t="s">
        <v>55</v>
      </c>
      <c r="F126" s="24">
        <v>280</v>
      </c>
      <c r="G126" s="24">
        <v>0</v>
      </c>
      <c r="H126" s="24">
        <f>ROUND(F126*AO126,2)</f>
        <v>0</v>
      </c>
      <c r="I126" s="24">
        <f>ROUND(F126*AP126,2)</f>
        <v>0</v>
      </c>
      <c r="J126" s="24">
        <f>ROUND(F126*G126,2)</f>
        <v>0</v>
      </c>
      <c r="K126" s="25" t="s">
        <v>56</v>
      </c>
      <c r="Z126" s="24">
        <f>ROUND(IF(AQ126="5",BJ126,0),2)</f>
        <v>0</v>
      </c>
      <c r="AB126" s="24">
        <f>ROUND(IF(AQ126="1",BH126,0),2)</f>
        <v>0</v>
      </c>
      <c r="AC126" s="24">
        <f>ROUND(IF(AQ126="1",BI126,0),2)</f>
        <v>0</v>
      </c>
      <c r="AD126" s="24">
        <f>ROUND(IF(AQ126="7",BH126,0),2)</f>
        <v>0</v>
      </c>
      <c r="AE126" s="24">
        <f>ROUND(IF(AQ126="7",BI126,0),2)</f>
        <v>0</v>
      </c>
      <c r="AF126" s="24">
        <f>ROUND(IF(AQ126="2",BH126,0),2)</f>
        <v>0</v>
      </c>
      <c r="AG126" s="24">
        <f>ROUND(IF(AQ126="2",BI126,0),2)</f>
        <v>0</v>
      </c>
      <c r="AH126" s="24">
        <f>ROUND(IF(AQ126="0",BJ126,0),2)</f>
        <v>0</v>
      </c>
      <c r="AI126" s="10" t="s">
        <v>49</v>
      </c>
      <c r="AJ126" s="24">
        <f>IF(AN126=0,J126,0)</f>
        <v>0</v>
      </c>
      <c r="AK126" s="24">
        <f>IF(AN126=12,J126,0)</f>
        <v>0</v>
      </c>
      <c r="AL126" s="24">
        <f>IF(AN126=21,J126,0)</f>
        <v>0</v>
      </c>
      <c r="AN126" s="24">
        <v>12</v>
      </c>
      <c r="AO126" s="24">
        <f>G126*0.364810827</f>
        <v>0</v>
      </c>
      <c r="AP126" s="24">
        <f>G126*(1-0.364810827)</f>
        <v>0</v>
      </c>
      <c r="AQ126" s="26" t="s">
        <v>74</v>
      </c>
      <c r="AV126" s="24">
        <f>ROUND(AW126+AX126,2)</f>
        <v>0</v>
      </c>
      <c r="AW126" s="24">
        <f>ROUND(F126*AO126,2)</f>
        <v>0</v>
      </c>
      <c r="AX126" s="24">
        <f>ROUND(F126*AP126,2)</f>
        <v>0</v>
      </c>
      <c r="AY126" s="26" t="s">
        <v>302</v>
      </c>
      <c r="AZ126" s="26" t="s">
        <v>284</v>
      </c>
      <c r="BA126" s="10" t="s">
        <v>59</v>
      </c>
      <c r="BC126" s="24">
        <f>AW126+AX126</f>
        <v>0</v>
      </c>
      <c r="BD126" s="24">
        <f>G126/(100-BE126)*100</f>
        <v>0</v>
      </c>
      <c r="BE126" s="24">
        <v>0</v>
      </c>
      <c r="BF126" s="24">
        <f>126</f>
        <v>126</v>
      </c>
      <c r="BH126" s="24">
        <f>F126*AO126</f>
        <v>0</v>
      </c>
      <c r="BI126" s="24">
        <f>F126*AP126</f>
        <v>0</v>
      </c>
      <c r="BJ126" s="24">
        <f>F126*G126</f>
        <v>0</v>
      </c>
      <c r="BK126" s="24"/>
      <c r="BL126" s="24">
        <v>784</v>
      </c>
      <c r="BW126" s="24">
        <v>12</v>
      </c>
      <c r="BX126" s="4" t="s">
        <v>301</v>
      </c>
    </row>
    <row r="127" spans="1:76" ht="14.4" x14ac:dyDescent="0.3">
      <c r="A127" s="30" t="s">
        <v>49</v>
      </c>
      <c r="B127" s="31" t="s">
        <v>303</v>
      </c>
      <c r="C127" s="91" t="s">
        <v>304</v>
      </c>
      <c r="D127" s="92"/>
      <c r="E127" s="32" t="s">
        <v>4</v>
      </c>
      <c r="F127" s="32" t="s">
        <v>4</v>
      </c>
      <c r="G127" s="32" t="s">
        <v>4</v>
      </c>
      <c r="H127" s="1">
        <f>SUM(H128:H155)</f>
        <v>0</v>
      </c>
      <c r="I127" s="1">
        <f>SUM(I128:I155)</f>
        <v>0</v>
      </c>
      <c r="J127" s="1">
        <f>SUM(J128:J155)</f>
        <v>0</v>
      </c>
      <c r="K127" s="33" t="s">
        <v>49</v>
      </c>
      <c r="AI127" s="10" t="s">
        <v>49</v>
      </c>
      <c r="AS127" s="1">
        <f>SUM(AJ128:AJ155)</f>
        <v>0</v>
      </c>
      <c r="AT127" s="1">
        <f>SUM(AK128:AK155)</f>
        <v>0</v>
      </c>
      <c r="AU127" s="1">
        <f>SUM(AL128:AL155)</f>
        <v>0</v>
      </c>
    </row>
    <row r="128" spans="1:76" ht="14.4" x14ac:dyDescent="0.3">
      <c r="A128" s="2" t="s">
        <v>50</v>
      </c>
      <c r="B128" s="3" t="s">
        <v>305</v>
      </c>
      <c r="C128" s="89" t="s">
        <v>306</v>
      </c>
      <c r="D128" s="90"/>
      <c r="E128" s="3" t="s">
        <v>55</v>
      </c>
      <c r="F128" s="24">
        <v>1350</v>
      </c>
      <c r="G128" s="24">
        <v>0</v>
      </c>
      <c r="H128" s="24">
        <f>ROUND(F128*AO128,2)</f>
        <v>0</v>
      </c>
      <c r="I128" s="24">
        <f>ROUND(F128*AP128,2)</f>
        <v>0</v>
      </c>
      <c r="J128" s="24">
        <f>ROUND(F128*G128,2)</f>
        <v>0</v>
      </c>
      <c r="K128" s="25" t="s">
        <v>56</v>
      </c>
      <c r="Z128" s="24">
        <f>ROUND(IF(AQ128="5",BJ128,0),2)</f>
        <v>0</v>
      </c>
      <c r="AB128" s="24">
        <f>ROUND(IF(AQ128="1",BH128,0),2)</f>
        <v>0</v>
      </c>
      <c r="AC128" s="24">
        <f>ROUND(IF(AQ128="1",BI128,0),2)</f>
        <v>0</v>
      </c>
      <c r="AD128" s="24">
        <f>ROUND(IF(AQ128="7",BH128,0),2)</f>
        <v>0</v>
      </c>
      <c r="AE128" s="24">
        <f>ROUND(IF(AQ128="7",BI128,0),2)</f>
        <v>0</v>
      </c>
      <c r="AF128" s="24">
        <f>ROUND(IF(AQ128="2",BH128,0),2)</f>
        <v>0</v>
      </c>
      <c r="AG128" s="24">
        <f>ROUND(IF(AQ128="2",BI128,0),2)</f>
        <v>0</v>
      </c>
      <c r="AH128" s="24">
        <f>ROUND(IF(AQ128="0",BJ128,0),2)</f>
        <v>0</v>
      </c>
      <c r="AI128" s="10" t="s">
        <v>49</v>
      </c>
      <c r="AJ128" s="24">
        <f>IF(AN128=0,J128,0)</f>
        <v>0</v>
      </c>
      <c r="AK128" s="24">
        <f>IF(AN128=12,J128,0)</f>
        <v>0</v>
      </c>
      <c r="AL128" s="24">
        <f>IF(AN128=21,J128,0)</f>
        <v>0</v>
      </c>
      <c r="AN128" s="24">
        <v>12</v>
      </c>
      <c r="AO128" s="24">
        <f>G128*0.000099512</f>
        <v>0</v>
      </c>
      <c r="AP128" s="24">
        <f>G128*(1-0.000099512)</f>
        <v>0</v>
      </c>
      <c r="AQ128" s="26" t="s">
        <v>52</v>
      </c>
      <c r="AV128" s="24">
        <f>ROUND(AW128+AX128,2)</f>
        <v>0</v>
      </c>
      <c r="AW128" s="24">
        <f>ROUND(F128*AO128,2)</f>
        <v>0</v>
      </c>
      <c r="AX128" s="24">
        <f>ROUND(F128*AP128,2)</f>
        <v>0</v>
      </c>
      <c r="AY128" s="26" t="s">
        <v>307</v>
      </c>
      <c r="AZ128" s="26" t="s">
        <v>308</v>
      </c>
      <c r="BA128" s="10" t="s">
        <v>59</v>
      </c>
      <c r="BC128" s="24">
        <f>AW128+AX128</f>
        <v>0</v>
      </c>
      <c r="BD128" s="24">
        <f>G128/(100-BE128)*100</f>
        <v>0</v>
      </c>
      <c r="BE128" s="24">
        <v>0</v>
      </c>
      <c r="BF128" s="24">
        <f>128</f>
        <v>128</v>
      </c>
      <c r="BH128" s="24">
        <f>F128*AO128</f>
        <v>0</v>
      </c>
      <c r="BI128" s="24">
        <f>F128*AP128</f>
        <v>0</v>
      </c>
      <c r="BJ128" s="24">
        <f>F128*G128</f>
        <v>0</v>
      </c>
      <c r="BK128" s="24"/>
      <c r="BL128" s="24">
        <v>94</v>
      </c>
      <c r="BW128" s="24">
        <v>12</v>
      </c>
      <c r="BX128" s="4" t="s">
        <v>306</v>
      </c>
    </row>
    <row r="129" spans="1:76" ht="14.4" x14ac:dyDescent="0.3">
      <c r="A129" s="2" t="s">
        <v>309</v>
      </c>
      <c r="B129" s="3" t="s">
        <v>310</v>
      </c>
      <c r="C129" s="89" t="s">
        <v>311</v>
      </c>
      <c r="D129" s="90"/>
      <c r="E129" s="3" t="s">
        <v>55</v>
      </c>
      <c r="F129" s="24">
        <v>4050</v>
      </c>
      <c r="G129" s="24">
        <v>0</v>
      </c>
      <c r="H129" s="24">
        <f>ROUND(F129*AO129,2)</f>
        <v>0</v>
      </c>
      <c r="I129" s="24">
        <f>ROUND(F129*AP129,2)</f>
        <v>0</v>
      </c>
      <c r="J129" s="24">
        <f>ROUND(F129*G129,2)</f>
        <v>0</v>
      </c>
      <c r="K129" s="25" t="s">
        <v>56</v>
      </c>
      <c r="Z129" s="24">
        <f>ROUND(IF(AQ129="5",BJ129,0),2)</f>
        <v>0</v>
      </c>
      <c r="AB129" s="24">
        <f>ROUND(IF(AQ129="1",BH129,0),2)</f>
        <v>0</v>
      </c>
      <c r="AC129" s="24">
        <f>ROUND(IF(AQ129="1",BI129,0),2)</f>
        <v>0</v>
      </c>
      <c r="AD129" s="24">
        <f>ROUND(IF(AQ129="7",BH129,0),2)</f>
        <v>0</v>
      </c>
      <c r="AE129" s="24">
        <f>ROUND(IF(AQ129="7",BI129,0),2)</f>
        <v>0</v>
      </c>
      <c r="AF129" s="24">
        <f>ROUND(IF(AQ129="2",BH129,0),2)</f>
        <v>0</v>
      </c>
      <c r="AG129" s="24">
        <f>ROUND(IF(AQ129="2",BI129,0),2)</f>
        <v>0</v>
      </c>
      <c r="AH129" s="24">
        <f>ROUND(IF(AQ129="0",BJ129,0),2)</f>
        <v>0</v>
      </c>
      <c r="AI129" s="10" t="s">
        <v>49</v>
      </c>
      <c r="AJ129" s="24">
        <f>IF(AN129=0,J129,0)</f>
        <v>0</v>
      </c>
      <c r="AK129" s="24">
        <f>IF(AN129=12,J129,0)</f>
        <v>0</v>
      </c>
      <c r="AL129" s="24">
        <f>IF(AN129=21,J129,0)</f>
        <v>0</v>
      </c>
      <c r="AN129" s="24">
        <v>12</v>
      </c>
      <c r="AO129" s="24">
        <f>G129*0.918250951</f>
        <v>0</v>
      </c>
      <c r="AP129" s="24">
        <f>G129*(1-0.918250951)</f>
        <v>0</v>
      </c>
      <c r="AQ129" s="26" t="s">
        <v>52</v>
      </c>
      <c r="AV129" s="24">
        <f>ROUND(AW129+AX129,2)</f>
        <v>0</v>
      </c>
      <c r="AW129" s="24">
        <f>ROUND(F129*AO129,2)</f>
        <v>0</v>
      </c>
      <c r="AX129" s="24">
        <f>ROUND(F129*AP129,2)</f>
        <v>0</v>
      </c>
      <c r="AY129" s="26" t="s">
        <v>307</v>
      </c>
      <c r="AZ129" s="26" t="s">
        <v>308</v>
      </c>
      <c r="BA129" s="10" t="s">
        <v>59</v>
      </c>
      <c r="BC129" s="24">
        <f>AW129+AX129</f>
        <v>0</v>
      </c>
      <c r="BD129" s="24">
        <f>G129/(100-BE129)*100</f>
        <v>0</v>
      </c>
      <c r="BE129" s="24">
        <v>0</v>
      </c>
      <c r="BF129" s="24">
        <f>129</f>
        <v>129</v>
      </c>
      <c r="BH129" s="24">
        <f>F129*AO129</f>
        <v>0</v>
      </c>
      <c r="BI129" s="24">
        <f>F129*AP129</f>
        <v>0</v>
      </c>
      <c r="BJ129" s="24">
        <f>F129*G129</f>
        <v>0</v>
      </c>
      <c r="BK129" s="24"/>
      <c r="BL129" s="24">
        <v>94</v>
      </c>
      <c r="BW129" s="24">
        <v>12</v>
      </c>
      <c r="BX129" s="4" t="s">
        <v>311</v>
      </c>
    </row>
    <row r="130" spans="1:76" ht="13.5" customHeight="1" x14ac:dyDescent="0.3">
      <c r="A130" s="27"/>
      <c r="B130" s="28" t="s">
        <v>86</v>
      </c>
      <c r="C130" s="95" t="s">
        <v>312</v>
      </c>
      <c r="D130" s="96"/>
      <c r="E130" s="96"/>
      <c r="F130" s="96"/>
      <c r="G130" s="96"/>
      <c r="H130" s="96"/>
      <c r="I130" s="96"/>
      <c r="J130" s="96"/>
      <c r="K130" s="97"/>
    </row>
    <row r="131" spans="1:76" ht="14.4" x14ac:dyDescent="0.3">
      <c r="A131" s="2" t="s">
        <v>313</v>
      </c>
      <c r="B131" s="3" t="s">
        <v>314</v>
      </c>
      <c r="C131" s="89" t="s">
        <v>315</v>
      </c>
      <c r="D131" s="90"/>
      <c r="E131" s="3" t="s">
        <v>55</v>
      </c>
      <c r="F131" s="24">
        <v>1350</v>
      </c>
      <c r="G131" s="24">
        <v>0</v>
      </c>
      <c r="H131" s="24">
        <f>ROUND(F131*AO131,2)</f>
        <v>0</v>
      </c>
      <c r="I131" s="24">
        <f>ROUND(F131*AP131,2)</f>
        <v>0</v>
      </c>
      <c r="J131" s="24">
        <f>ROUND(F131*G131,2)</f>
        <v>0</v>
      </c>
      <c r="K131" s="25" t="s">
        <v>56</v>
      </c>
      <c r="Z131" s="24">
        <f>ROUND(IF(AQ131="5",BJ131,0),2)</f>
        <v>0</v>
      </c>
      <c r="AB131" s="24">
        <f>ROUND(IF(AQ131="1",BH131,0),2)</f>
        <v>0</v>
      </c>
      <c r="AC131" s="24">
        <f>ROUND(IF(AQ131="1",BI131,0),2)</f>
        <v>0</v>
      </c>
      <c r="AD131" s="24">
        <f>ROUND(IF(AQ131="7",BH131,0),2)</f>
        <v>0</v>
      </c>
      <c r="AE131" s="24">
        <f>ROUND(IF(AQ131="7",BI131,0),2)</f>
        <v>0</v>
      </c>
      <c r="AF131" s="24">
        <f>ROUND(IF(AQ131="2",BH131,0),2)</f>
        <v>0</v>
      </c>
      <c r="AG131" s="24">
        <f>ROUND(IF(AQ131="2",BI131,0),2)</f>
        <v>0</v>
      </c>
      <c r="AH131" s="24">
        <f>ROUND(IF(AQ131="0",BJ131,0),2)</f>
        <v>0</v>
      </c>
      <c r="AI131" s="10" t="s">
        <v>49</v>
      </c>
      <c r="AJ131" s="24">
        <f>IF(AN131=0,J131,0)</f>
        <v>0</v>
      </c>
      <c r="AK131" s="24">
        <f>IF(AN131=12,J131,0)</f>
        <v>0</v>
      </c>
      <c r="AL131" s="24">
        <f>IF(AN131=21,J131,0)</f>
        <v>0</v>
      </c>
      <c r="AN131" s="24">
        <v>12</v>
      </c>
      <c r="AO131" s="24">
        <f>G131*0</f>
        <v>0</v>
      </c>
      <c r="AP131" s="24">
        <f>G131*(1-0)</f>
        <v>0</v>
      </c>
      <c r="AQ131" s="26" t="s">
        <v>52</v>
      </c>
      <c r="AV131" s="24">
        <f>ROUND(AW131+AX131,2)</f>
        <v>0</v>
      </c>
      <c r="AW131" s="24">
        <f>ROUND(F131*AO131,2)</f>
        <v>0</v>
      </c>
      <c r="AX131" s="24">
        <f>ROUND(F131*AP131,2)</f>
        <v>0</v>
      </c>
      <c r="AY131" s="26" t="s">
        <v>307</v>
      </c>
      <c r="AZ131" s="26" t="s">
        <v>308</v>
      </c>
      <c r="BA131" s="10" t="s">
        <v>59</v>
      </c>
      <c r="BC131" s="24">
        <f>AW131+AX131</f>
        <v>0</v>
      </c>
      <c r="BD131" s="24">
        <f>G131/(100-BE131)*100</f>
        <v>0</v>
      </c>
      <c r="BE131" s="24">
        <v>0</v>
      </c>
      <c r="BF131" s="24">
        <f>131</f>
        <v>131</v>
      </c>
      <c r="BH131" s="24">
        <f>F131*AO131</f>
        <v>0</v>
      </c>
      <c r="BI131" s="24">
        <f>F131*AP131</f>
        <v>0</v>
      </c>
      <c r="BJ131" s="24">
        <f>F131*G131</f>
        <v>0</v>
      </c>
      <c r="BK131" s="24"/>
      <c r="BL131" s="24">
        <v>94</v>
      </c>
      <c r="BW131" s="24">
        <v>12</v>
      </c>
      <c r="BX131" s="4" t="s">
        <v>315</v>
      </c>
    </row>
    <row r="132" spans="1:76" ht="14.4" x14ac:dyDescent="0.3">
      <c r="A132" s="2" t="s">
        <v>316</v>
      </c>
      <c r="B132" s="3" t="s">
        <v>317</v>
      </c>
      <c r="C132" s="89" t="s">
        <v>318</v>
      </c>
      <c r="D132" s="90"/>
      <c r="E132" s="3" t="s">
        <v>102</v>
      </c>
      <c r="F132" s="24">
        <v>96</v>
      </c>
      <c r="G132" s="24">
        <v>0</v>
      </c>
      <c r="H132" s="24">
        <f>ROUND(F132*AO132,2)</f>
        <v>0</v>
      </c>
      <c r="I132" s="24">
        <f>ROUND(F132*AP132,2)</f>
        <v>0</v>
      </c>
      <c r="J132" s="24">
        <f>ROUND(F132*G132,2)</f>
        <v>0</v>
      </c>
      <c r="K132" s="25" t="s">
        <v>56</v>
      </c>
      <c r="Z132" s="24">
        <f>ROUND(IF(AQ132="5",BJ132,0),2)</f>
        <v>0</v>
      </c>
      <c r="AB132" s="24">
        <f>ROUND(IF(AQ132="1",BH132,0),2)</f>
        <v>0</v>
      </c>
      <c r="AC132" s="24">
        <f>ROUND(IF(AQ132="1",BI132,0),2)</f>
        <v>0</v>
      </c>
      <c r="AD132" s="24">
        <f>ROUND(IF(AQ132="7",BH132,0),2)</f>
        <v>0</v>
      </c>
      <c r="AE132" s="24">
        <f>ROUND(IF(AQ132="7",BI132,0),2)</f>
        <v>0</v>
      </c>
      <c r="AF132" s="24">
        <f>ROUND(IF(AQ132="2",BH132,0),2)</f>
        <v>0</v>
      </c>
      <c r="AG132" s="24">
        <f>ROUND(IF(AQ132="2",BI132,0),2)</f>
        <v>0</v>
      </c>
      <c r="AH132" s="24">
        <f>ROUND(IF(AQ132="0",BJ132,0),2)</f>
        <v>0</v>
      </c>
      <c r="AI132" s="10" t="s">
        <v>49</v>
      </c>
      <c r="AJ132" s="24">
        <f>IF(AN132=0,J132,0)</f>
        <v>0</v>
      </c>
      <c r="AK132" s="24">
        <f>IF(AN132=12,J132,0)</f>
        <v>0</v>
      </c>
      <c r="AL132" s="24">
        <f>IF(AN132=21,J132,0)</f>
        <v>0</v>
      </c>
      <c r="AN132" s="24">
        <v>12</v>
      </c>
      <c r="AO132" s="24">
        <f>G132*0.122450331</f>
        <v>0</v>
      </c>
      <c r="AP132" s="24">
        <f>G132*(1-0.122450331)</f>
        <v>0</v>
      </c>
      <c r="AQ132" s="26" t="s">
        <v>52</v>
      </c>
      <c r="AV132" s="24">
        <f>ROUND(AW132+AX132,2)</f>
        <v>0</v>
      </c>
      <c r="AW132" s="24">
        <f>ROUND(F132*AO132,2)</f>
        <v>0</v>
      </c>
      <c r="AX132" s="24">
        <f>ROUND(F132*AP132,2)</f>
        <v>0</v>
      </c>
      <c r="AY132" s="26" t="s">
        <v>307</v>
      </c>
      <c r="AZ132" s="26" t="s">
        <v>308</v>
      </c>
      <c r="BA132" s="10" t="s">
        <v>59</v>
      </c>
      <c r="BC132" s="24">
        <f>AW132+AX132</f>
        <v>0</v>
      </c>
      <c r="BD132" s="24">
        <f>G132/(100-BE132)*100</f>
        <v>0</v>
      </c>
      <c r="BE132" s="24">
        <v>0</v>
      </c>
      <c r="BF132" s="24">
        <f>132</f>
        <v>132</v>
      </c>
      <c r="BH132" s="24">
        <f>F132*AO132</f>
        <v>0</v>
      </c>
      <c r="BI132" s="24">
        <f>F132*AP132</f>
        <v>0</v>
      </c>
      <c r="BJ132" s="24">
        <f>F132*G132</f>
        <v>0</v>
      </c>
      <c r="BK132" s="24"/>
      <c r="BL132" s="24">
        <v>94</v>
      </c>
      <c r="BW132" s="24">
        <v>12</v>
      </c>
      <c r="BX132" s="4" t="s">
        <v>318</v>
      </c>
    </row>
    <row r="133" spans="1:76" ht="39.6" x14ac:dyDescent="0.3">
      <c r="A133" s="27"/>
      <c r="B133" s="28" t="s">
        <v>63</v>
      </c>
      <c r="C133" s="95" t="s">
        <v>319</v>
      </c>
      <c r="D133" s="96"/>
      <c r="E133" s="96"/>
      <c r="F133" s="96"/>
      <c r="G133" s="96"/>
      <c r="H133" s="96"/>
      <c r="I133" s="96"/>
      <c r="J133" s="96"/>
      <c r="K133" s="97"/>
      <c r="BX133" s="29" t="s">
        <v>319</v>
      </c>
    </row>
    <row r="134" spans="1:76" ht="14.4" x14ac:dyDescent="0.3">
      <c r="A134" s="2" t="s">
        <v>320</v>
      </c>
      <c r="B134" s="3" t="s">
        <v>321</v>
      </c>
      <c r="C134" s="89" t="s">
        <v>322</v>
      </c>
      <c r="D134" s="90"/>
      <c r="E134" s="3" t="s">
        <v>55</v>
      </c>
      <c r="F134" s="24">
        <v>400</v>
      </c>
      <c r="G134" s="24">
        <v>0</v>
      </c>
      <c r="H134" s="24">
        <f>ROUND(F134*AO134,2)</f>
        <v>0</v>
      </c>
      <c r="I134" s="24">
        <f>ROUND(F134*AP134,2)</f>
        <v>0</v>
      </c>
      <c r="J134" s="24">
        <f>ROUND(F134*G134,2)</f>
        <v>0</v>
      </c>
      <c r="K134" s="25" t="s">
        <v>56</v>
      </c>
      <c r="Z134" s="24">
        <f>ROUND(IF(AQ134="5",BJ134,0),2)</f>
        <v>0</v>
      </c>
      <c r="AB134" s="24">
        <f>ROUND(IF(AQ134="1",BH134,0),2)</f>
        <v>0</v>
      </c>
      <c r="AC134" s="24">
        <f>ROUND(IF(AQ134="1",BI134,0),2)</f>
        <v>0</v>
      </c>
      <c r="AD134" s="24">
        <f>ROUND(IF(AQ134="7",BH134,0),2)</f>
        <v>0</v>
      </c>
      <c r="AE134" s="24">
        <f>ROUND(IF(AQ134="7",BI134,0),2)</f>
        <v>0</v>
      </c>
      <c r="AF134" s="24">
        <f>ROUND(IF(AQ134="2",BH134,0),2)</f>
        <v>0</v>
      </c>
      <c r="AG134" s="24">
        <f>ROUND(IF(AQ134="2",BI134,0),2)</f>
        <v>0</v>
      </c>
      <c r="AH134" s="24">
        <f>ROUND(IF(AQ134="0",BJ134,0),2)</f>
        <v>0</v>
      </c>
      <c r="AI134" s="10" t="s">
        <v>49</v>
      </c>
      <c r="AJ134" s="24">
        <f>IF(AN134=0,J134,0)</f>
        <v>0</v>
      </c>
      <c r="AK134" s="24">
        <f>IF(AN134=12,J134,0)</f>
        <v>0</v>
      </c>
      <c r="AL134" s="24">
        <f>IF(AN134=21,J134,0)</f>
        <v>0</v>
      </c>
      <c r="AN134" s="24">
        <v>12</v>
      </c>
      <c r="AO134" s="24">
        <f>G134*0</f>
        <v>0</v>
      </c>
      <c r="AP134" s="24">
        <f>G134*(1-0)</f>
        <v>0</v>
      </c>
      <c r="AQ134" s="26" t="s">
        <v>52</v>
      </c>
      <c r="AV134" s="24">
        <f>ROUND(AW134+AX134,2)</f>
        <v>0</v>
      </c>
      <c r="AW134" s="24">
        <f>ROUND(F134*AO134,2)</f>
        <v>0</v>
      </c>
      <c r="AX134" s="24">
        <f>ROUND(F134*AP134,2)</f>
        <v>0</v>
      </c>
      <c r="AY134" s="26" t="s">
        <v>307</v>
      </c>
      <c r="AZ134" s="26" t="s">
        <v>308</v>
      </c>
      <c r="BA134" s="10" t="s">
        <v>59</v>
      </c>
      <c r="BC134" s="24">
        <f>AW134+AX134</f>
        <v>0</v>
      </c>
      <c r="BD134" s="24">
        <f>G134/(100-BE134)*100</f>
        <v>0</v>
      </c>
      <c r="BE134" s="24">
        <v>0</v>
      </c>
      <c r="BF134" s="24">
        <f>134</f>
        <v>134</v>
      </c>
      <c r="BH134" s="24">
        <f>F134*AO134</f>
        <v>0</v>
      </c>
      <c r="BI134" s="24">
        <f>F134*AP134</f>
        <v>0</v>
      </c>
      <c r="BJ134" s="24">
        <f>F134*G134</f>
        <v>0</v>
      </c>
      <c r="BK134" s="24"/>
      <c r="BL134" s="24">
        <v>94</v>
      </c>
      <c r="BW134" s="24">
        <v>12</v>
      </c>
      <c r="BX134" s="4" t="s">
        <v>322</v>
      </c>
    </row>
    <row r="135" spans="1:76" ht="14.4" x14ac:dyDescent="0.3">
      <c r="A135" s="2" t="s">
        <v>323</v>
      </c>
      <c r="B135" s="3" t="s">
        <v>324</v>
      </c>
      <c r="C135" s="89" t="s">
        <v>325</v>
      </c>
      <c r="D135" s="90"/>
      <c r="E135" s="3" t="s">
        <v>55</v>
      </c>
      <c r="F135" s="24">
        <v>400</v>
      </c>
      <c r="G135" s="24">
        <v>0</v>
      </c>
      <c r="H135" s="24">
        <f>ROUND(F135*AO135,2)</f>
        <v>0</v>
      </c>
      <c r="I135" s="24">
        <f>ROUND(F135*AP135,2)</f>
        <v>0</v>
      </c>
      <c r="J135" s="24">
        <f>ROUND(F135*G135,2)</f>
        <v>0</v>
      </c>
      <c r="K135" s="25" t="s">
        <v>56</v>
      </c>
      <c r="Z135" s="24">
        <f>ROUND(IF(AQ135="5",BJ135,0),2)</f>
        <v>0</v>
      </c>
      <c r="AB135" s="24">
        <f>ROUND(IF(AQ135="1",BH135,0),2)</f>
        <v>0</v>
      </c>
      <c r="AC135" s="24">
        <f>ROUND(IF(AQ135="1",BI135,0),2)</f>
        <v>0</v>
      </c>
      <c r="AD135" s="24">
        <f>ROUND(IF(AQ135="7",BH135,0),2)</f>
        <v>0</v>
      </c>
      <c r="AE135" s="24">
        <f>ROUND(IF(AQ135="7",BI135,0),2)</f>
        <v>0</v>
      </c>
      <c r="AF135" s="24">
        <f>ROUND(IF(AQ135="2",BH135,0),2)</f>
        <v>0</v>
      </c>
      <c r="AG135" s="24">
        <f>ROUND(IF(AQ135="2",BI135,0),2)</f>
        <v>0</v>
      </c>
      <c r="AH135" s="24">
        <f>ROUND(IF(AQ135="0",BJ135,0),2)</f>
        <v>0</v>
      </c>
      <c r="AI135" s="10" t="s">
        <v>49</v>
      </c>
      <c r="AJ135" s="24">
        <f>IF(AN135=0,J135,0)</f>
        <v>0</v>
      </c>
      <c r="AK135" s="24">
        <f>IF(AN135=12,J135,0)</f>
        <v>0</v>
      </c>
      <c r="AL135" s="24">
        <f>IF(AN135=21,J135,0)</f>
        <v>0</v>
      </c>
      <c r="AN135" s="24">
        <v>12</v>
      </c>
      <c r="AO135" s="24">
        <f>G135*0</f>
        <v>0</v>
      </c>
      <c r="AP135" s="24">
        <f>G135*(1-0)</f>
        <v>0</v>
      </c>
      <c r="AQ135" s="26" t="s">
        <v>52</v>
      </c>
      <c r="AV135" s="24">
        <f>ROUND(AW135+AX135,2)</f>
        <v>0</v>
      </c>
      <c r="AW135" s="24">
        <f>ROUND(F135*AO135,2)</f>
        <v>0</v>
      </c>
      <c r="AX135" s="24">
        <f>ROUND(F135*AP135,2)</f>
        <v>0</v>
      </c>
      <c r="AY135" s="26" t="s">
        <v>307</v>
      </c>
      <c r="AZ135" s="26" t="s">
        <v>308</v>
      </c>
      <c r="BA135" s="10" t="s">
        <v>59</v>
      </c>
      <c r="BC135" s="24">
        <f>AW135+AX135</f>
        <v>0</v>
      </c>
      <c r="BD135" s="24">
        <f>G135/(100-BE135)*100</f>
        <v>0</v>
      </c>
      <c r="BE135" s="24">
        <v>0</v>
      </c>
      <c r="BF135" s="24">
        <f>135</f>
        <v>135</v>
      </c>
      <c r="BH135" s="24">
        <f>F135*AO135</f>
        <v>0</v>
      </c>
      <c r="BI135" s="24">
        <f>F135*AP135</f>
        <v>0</v>
      </c>
      <c r="BJ135" s="24">
        <f>F135*G135</f>
        <v>0</v>
      </c>
      <c r="BK135" s="24"/>
      <c r="BL135" s="24">
        <v>94</v>
      </c>
      <c r="BW135" s="24">
        <v>12</v>
      </c>
      <c r="BX135" s="4" t="s">
        <v>325</v>
      </c>
    </row>
    <row r="136" spans="1:76" ht="14.4" x14ac:dyDescent="0.3">
      <c r="A136" s="2" t="s">
        <v>326</v>
      </c>
      <c r="B136" s="3" t="s">
        <v>327</v>
      </c>
      <c r="C136" s="89" t="s">
        <v>328</v>
      </c>
      <c r="D136" s="90"/>
      <c r="E136" s="3" t="s">
        <v>102</v>
      </c>
      <c r="F136" s="24">
        <v>8</v>
      </c>
      <c r="G136" s="24">
        <v>0</v>
      </c>
      <c r="H136" s="24">
        <f>ROUND(F136*AO136,2)</f>
        <v>0</v>
      </c>
      <c r="I136" s="24">
        <f>ROUND(F136*AP136,2)</f>
        <v>0</v>
      </c>
      <c r="J136" s="24">
        <f>ROUND(F136*G136,2)</f>
        <v>0</v>
      </c>
      <c r="K136" s="25" t="s">
        <v>56</v>
      </c>
      <c r="Z136" s="24">
        <f>ROUND(IF(AQ136="5",BJ136,0),2)</f>
        <v>0</v>
      </c>
      <c r="AB136" s="24">
        <f>ROUND(IF(AQ136="1",BH136,0),2)</f>
        <v>0</v>
      </c>
      <c r="AC136" s="24">
        <f>ROUND(IF(AQ136="1",BI136,0),2)</f>
        <v>0</v>
      </c>
      <c r="AD136" s="24">
        <f>ROUND(IF(AQ136="7",BH136,0),2)</f>
        <v>0</v>
      </c>
      <c r="AE136" s="24">
        <f>ROUND(IF(AQ136="7",BI136,0),2)</f>
        <v>0</v>
      </c>
      <c r="AF136" s="24">
        <f>ROUND(IF(AQ136="2",BH136,0),2)</f>
        <v>0</v>
      </c>
      <c r="AG136" s="24">
        <f>ROUND(IF(AQ136="2",BI136,0),2)</f>
        <v>0</v>
      </c>
      <c r="AH136" s="24">
        <f>ROUND(IF(AQ136="0",BJ136,0),2)</f>
        <v>0</v>
      </c>
      <c r="AI136" s="10" t="s">
        <v>49</v>
      </c>
      <c r="AJ136" s="24">
        <f>IF(AN136=0,J136,0)</f>
        <v>0</v>
      </c>
      <c r="AK136" s="24">
        <f>IF(AN136=12,J136,0)</f>
        <v>0</v>
      </c>
      <c r="AL136" s="24">
        <f>IF(AN136=21,J136,0)</f>
        <v>0</v>
      </c>
      <c r="AN136" s="24">
        <v>12</v>
      </c>
      <c r="AO136" s="24">
        <f>G136*0.362759469</f>
        <v>0</v>
      </c>
      <c r="AP136" s="24">
        <f>G136*(1-0.362759469)</f>
        <v>0</v>
      </c>
      <c r="AQ136" s="26" t="s">
        <v>52</v>
      </c>
      <c r="AV136" s="24">
        <f>ROUND(AW136+AX136,2)</f>
        <v>0</v>
      </c>
      <c r="AW136" s="24">
        <f>ROUND(F136*AO136,2)</f>
        <v>0</v>
      </c>
      <c r="AX136" s="24">
        <f>ROUND(F136*AP136,2)</f>
        <v>0</v>
      </c>
      <c r="AY136" s="26" t="s">
        <v>307</v>
      </c>
      <c r="AZ136" s="26" t="s">
        <v>308</v>
      </c>
      <c r="BA136" s="10" t="s">
        <v>59</v>
      </c>
      <c r="BC136" s="24">
        <f>AW136+AX136</f>
        <v>0</v>
      </c>
      <c r="BD136" s="24">
        <f>G136/(100-BE136)*100</f>
        <v>0</v>
      </c>
      <c r="BE136" s="24">
        <v>0</v>
      </c>
      <c r="BF136" s="24">
        <f>136</f>
        <v>136</v>
      </c>
      <c r="BH136" s="24">
        <f>F136*AO136</f>
        <v>0</v>
      </c>
      <c r="BI136" s="24">
        <f>F136*AP136</f>
        <v>0</v>
      </c>
      <c r="BJ136" s="24">
        <f>F136*G136</f>
        <v>0</v>
      </c>
      <c r="BK136" s="24"/>
      <c r="BL136" s="24">
        <v>94</v>
      </c>
      <c r="BW136" s="24">
        <v>12</v>
      </c>
      <c r="BX136" s="4" t="s">
        <v>328</v>
      </c>
    </row>
    <row r="137" spans="1:76" ht="14.4" x14ac:dyDescent="0.3">
      <c r="A137" s="2" t="s">
        <v>329</v>
      </c>
      <c r="B137" s="3" t="s">
        <v>330</v>
      </c>
      <c r="C137" s="89" t="s">
        <v>331</v>
      </c>
      <c r="D137" s="90"/>
      <c r="E137" s="3" t="s">
        <v>102</v>
      </c>
      <c r="F137" s="24">
        <v>24</v>
      </c>
      <c r="G137" s="24">
        <v>0</v>
      </c>
      <c r="H137" s="24">
        <f>ROUND(F137*AO137,2)</f>
        <v>0</v>
      </c>
      <c r="I137" s="24">
        <f>ROUND(F137*AP137,2)</f>
        <v>0</v>
      </c>
      <c r="J137" s="24">
        <f>ROUND(F137*G137,2)</f>
        <v>0</v>
      </c>
      <c r="K137" s="25" t="s">
        <v>56</v>
      </c>
      <c r="Z137" s="24">
        <f>ROUND(IF(AQ137="5",BJ137,0),2)</f>
        <v>0</v>
      </c>
      <c r="AB137" s="24">
        <f>ROUND(IF(AQ137="1",BH137,0),2)</f>
        <v>0</v>
      </c>
      <c r="AC137" s="24">
        <f>ROUND(IF(AQ137="1",BI137,0),2)</f>
        <v>0</v>
      </c>
      <c r="AD137" s="24">
        <f>ROUND(IF(AQ137="7",BH137,0),2)</f>
        <v>0</v>
      </c>
      <c r="AE137" s="24">
        <f>ROUND(IF(AQ137="7",BI137,0),2)</f>
        <v>0</v>
      </c>
      <c r="AF137" s="24">
        <f>ROUND(IF(AQ137="2",BH137,0),2)</f>
        <v>0</v>
      </c>
      <c r="AG137" s="24">
        <f>ROUND(IF(AQ137="2",BI137,0),2)</f>
        <v>0</v>
      </c>
      <c r="AH137" s="24">
        <f>ROUND(IF(AQ137="0",BJ137,0),2)</f>
        <v>0</v>
      </c>
      <c r="AI137" s="10" t="s">
        <v>49</v>
      </c>
      <c r="AJ137" s="24">
        <f>IF(AN137=0,J137,0)</f>
        <v>0</v>
      </c>
      <c r="AK137" s="24">
        <f>IF(AN137=12,J137,0)</f>
        <v>0</v>
      </c>
      <c r="AL137" s="24">
        <f>IF(AN137=21,J137,0)</f>
        <v>0</v>
      </c>
      <c r="AN137" s="24">
        <v>12</v>
      </c>
      <c r="AO137" s="24">
        <f>G137*0.884635417</f>
        <v>0</v>
      </c>
      <c r="AP137" s="24">
        <f>G137*(1-0.884635417)</f>
        <v>0</v>
      </c>
      <c r="AQ137" s="26" t="s">
        <v>52</v>
      </c>
      <c r="AV137" s="24">
        <f>ROUND(AW137+AX137,2)</f>
        <v>0</v>
      </c>
      <c r="AW137" s="24">
        <f>ROUND(F137*AO137,2)</f>
        <v>0</v>
      </c>
      <c r="AX137" s="24">
        <f>ROUND(F137*AP137,2)</f>
        <v>0</v>
      </c>
      <c r="AY137" s="26" t="s">
        <v>307</v>
      </c>
      <c r="AZ137" s="26" t="s">
        <v>308</v>
      </c>
      <c r="BA137" s="10" t="s">
        <v>59</v>
      </c>
      <c r="BC137" s="24">
        <f>AW137+AX137</f>
        <v>0</v>
      </c>
      <c r="BD137" s="24">
        <f>G137/(100-BE137)*100</f>
        <v>0</v>
      </c>
      <c r="BE137" s="24">
        <v>0</v>
      </c>
      <c r="BF137" s="24">
        <f>137</f>
        <v>137</v>
      </c>
      <c r="BH137" s="24">
        <f>F137*AO137</f>
        <v>0</v>
      </c>
      <c r="BI137" s="24">
        <f>F137*AP137</f>
        <v>0</v>
      </c>
      <c r="BJ137" s="24">
        <f>F137*G137</f>
        <v>0</v>
      </c>
      <c r="BK137" s="24"/>
      <c r="BL137" s="24">
        <v>94</v>
      </c>
      <c r="BW137" s="24">
        <v>12</v>
      </c>
      <c r="BX137" s="4" t="s">
        <v>331</v>
      </c>
    </row>
    <row r="138" spans="1:76" ht="13.5" customHeight="1" x14ac:dyDescent="0.3">
      <c r="A138" s="27"/>
      <c r="B138" s="28" t="s">
        <v>86</v>
      </c>
      <c r="C138" s="95" t="s">
        <v>332</v>
      </c>
      <c r="D138" s="96"/>
      <c r="E138" s="96"/>
      <c r="F138" s="96"/>
      <c r="G138" s="96"/>
      <c r="H138" s="96"/>
      <c r="I138" s="96"/>
      <c r="J138" s="96"/>
      <c r="K138" s="97"/>
    </row>
    <row r="139" spans="1:76" ht="14.4" x14ac:dyDescent="0.3">
      <c r="A139" s="2" t="s">
        <v>333</v>
      </c>
      <c r="B139" s="3" t="s">
        <v>334</v>
      </c>
      <c r="C139" s="89" t="s">
        <v>335</v>
      </c>
      <c r="D139" s="90"/>
      <c r="E139" s="3" t="s">
        <v>102</v>
      </c>
      <c r="F139" s="24">
        <v>8</v>
      </c>
      <c r="G139" s="24">
        <v>0</v>
      </c>
      <c r="H139" s="24">
        <f t="shared" ref="H139:H144" si="0">ROUND(F139*AO139,2)</f>
        <v>0</v>
      </c>
      <c r="I139" s="24">
        <f t="shared" ref="I139:I144" si="1">ROUND(F139*AP139,2)</f>
        <v>0</v>
      </c>
      <c r="J139" s="24">
        <f t="shared" ref="J139:J144" si="2">ROUND(F139*G139,2)</f>
        <v>0</v>
      </c>
      <c r="K139" s="25" t="s">
        <v>56</v>
      </c>
      <c r="Z139" s="24">
        <f t="shared" ref="Z139:Z144" si="3">ROUND(IF(AQ139="5",BJ139,0),2)</f>
        <v>0</v>
      </c>
      <c r="AB139" s="24">
        <f t="shared" ref="AB139:AB144" si="4">ROUND(IF(AQ139="1",BH139,0),2)</f>
        <v>0</v>
      </c>
      <c r="AC139" s="24">
        <f t="shared" ref="AC139:AC144" si="5">ROUND(IF(AQ139="1",BI139,0),2)</f>
        <v>0</v>
      </c>
      <c r="AD139" s="24">
        <f t="shared" ref="AD139:AD144" si="6">ROUND(IF(AQ139="7",BH139,0),2)</f>
        <v>0</v>
      </c>
      <c r="AE139" s="24">
        <f t="shared" ref="AE139:AE144" si="7">ROUND(IF(AQ139="7",BI139,0),2)</f>
        <v>0</v>
      </c>
      <c r="AF139" s="24">
        <f t="shared" ref="AF139:AF144" si="8">ROUND(IF(AQ139="2",BH139,0),2)</f>
        <v>0</v>
      </c>
      <c r="AG139" s="24">
        <f t="shared" ref="AG139:AG144" si="9">ROUND(IF(AQ139="2",BI139,0),2)</f>
        <v>0</v>
      </c>
      <c r="AH139" s="24">
        <f t="shared" ref="AH139:AH144" si="10">ROUND(IF(AQ139="0",BJ139,0),2)</f>
        <v>0</v>
      </c>
      <c r="AI139" s="10" t="s">
        <v>49</v>
      </c>
      <c r="AJ139" s="24">
        <f t="shared" ref="AJ139:AJ144" si="11">IF(AN139=0,J139,0)</f>
        <v>0</v>
      </c>
      <c r="AK139" s="24">
        <f t="shared" ref="AK139:AK144" si="12">IF(AN139=12,J139,0)</f>
        <v>0</v>
      </c>
      <c r="AL139" s="24">
        <f t="shared" ref="AL139:AL144" si="13">IF(AN139=21,J139,0)</f>
        <v>0</v>
      </c>
      <c r="AN139" s="24">
        <v>12</v>
      </c>
      <c r="AO139" s="24">
        <f>G139*0</f>
        <v>0</v>
      </c>
      <c r="AP139" s="24">
        <f>G139*(1-0)</f>
        <v>0</v>
      </c>
      <c r="AQ139" s="26" t="s">
        <v>52</v>
      </c>
      <c r="AV139" s="24">
        <f t="shared" ref="AV139:AV144" si="14">ROUND(AW139+AX139,2)</f>
        <v>0</v>
      </c>
      <c r="AW139" s="24">
        <f t="shared" ref="AW139:AW144" si="15">ROUND(F139*AO139,2)</f>
        <v>0</v>
      </c>
      <c r="AX139" s="24">
        <f t="shared" ref="AX139:AX144" si="16">ROUND(F139*AP139,2)</f>
        <v>0</v>
      </c>
      <c r="AY139" s="26" t="s">
        <v>307</v>
      </c>
      <c r="AZ139" s="26" t="s">
        <v>308</v>
      </c>
      <c r="BA139" s="10" t="s">
        <v>59</v>
      </c>
      <c r="BC139" s="24">
        <f t="shared" ref="BC139:BC144" si="17">AW139+AX139</f>
        <v>0</v>
      </c>
      <c r="BD139" s="24">
        <f t="shared" ref="BD139:BD144" si="18">G139/(100-BE139)*100</f>
        <v>0</v>
      </c>
      <c r="BE139" s="24">
        <v>0</v>
      </c>
      <c r="BF139" s="24">
        <f>139</f>
        <v>139</v>
      </c>
      <c r="BH139" s="24">
        <f t="shared" ref="BH139:BH144" si="19">F139*AO139</f>
        <v>0</v>
      </c>
      <c r="BI139" s="24">
        <f t="shared" ref="BI139:BI144" si="20">F139*AP139</f>
        <v>0</v>
      </c>
      <c r="BJ139" s="24">
        <f t="shared" ref="BJ139:BJ144" si="21">F139*G139</f>
        <v>0</v>
      </c>
      <c r="BK139" s="24"/>
      <c r="BL139" s="24">
        <v>94</v>
      </c>
      <c r="BW139" s="24">
        <v>12</v>
      </c>
      <c r="BX139" s="4" t="s">
        <v>335</v>
      </c>
    </row>
    <row r="140" spans="1:76" ht="14.4" x14ac:dyDescent="0.3">
      <c r="A140" s="2" t="s">
        <v>336</v>
      </c>
      <c r="B140" s="3" t="s">
        <v>337</v>
      </c>
      <c r="C140" s="89" t="s">
        <v>338</v>
      </c>
      <c r="D140" s="90"/>
      <c r="E140" s="3" t="s">
        <v>55</v>
      </c>
      <c r="F140" s="24">
        <v>400</v>
      </c>
      <c r="G140" s="24">
        <v>0</v>
      </c>
      <c r="H140" s="24">
        <f t="shared" si="0"/>
        <v>0</v>
      </c>
      <c r="I140" s="24">
        <f t="shared" si="1"/>
        <v>0</v>
      </c>
      <c r="J140" s="24">
        <f t="shared" si="2"/>
        <v>0</v>
      </c>
      <c r="K140" s="25" t="s">
        <v>56</v>
      </c>
      <c r="Z140" s="24">
        <f t="shared" si="3"/>
        <v>0</v>
      </c>
      <c r="AB140" s="24">
        <f t="shared" si="4"/>
        <v>0</v>
      </c>
      <c r="AC140" s="24">
        <f t="shared" si="5"/>
        <v>0</v>
      </c>
      <c r="AD140" s="24">
        <f t="shared" si="6"/>
        <v>0</v>
      </c>
      <c r="AE140" s="24">
        <f t="shared" si="7"/>
        <v>0</v>
      </c>
      <c r="AF140" s="24">
        <f t="shared" si="8"/>
        <v>0</v>
      </c>
      <c r="AG140" s="24">
        <f t="shared" si="9"/>
        <v>0</v>
      </c>
      <c r="AH140" s="24">
        <f t="shared" si="10"/>
        <v>0</v>
      </c>
      <c r="AI140" s="10" t="s">
        <v>49</v>
      </c>
      <c r="AJ140" s="24">
        <f t="shared" si="11"/>
        <v>0</v>
      </c>
      <c r="AK140" s="24">
        <f t="shared" si="12"/>
        <v>0</v>
      </c>
      <c r="AL140" s="24">
        <f t="shared" si="13"/>
        <v>0</v>
      </c>
      <c r="AN140" s="24">
        <v>12</v>
      </c>
      <c r="AO140" s="24">
        <f>G140*0.224965753</f>
        <v>0</v>
      </c>
      <c r="AP140" s="24">
        <f>G140*(1-0.224965753)</f>
        <v>0</v>
      </c>
      <c r="AQ140" s="26" t="s">
        <v>52</v>
      </c>
      <c r="AV140" s="24">
        <f t="shared" si="14"/>
        <v>0</v>
      </c>
      <c r="AW140" s="24">
        <f t="shared" si="15"/>
        <v>0</v>
      </c>
      <c r="AX140" s="24">
        <f t="shared" si="16"/>
        <v>0</v>
      </c>
      <c r="AY140" s="26" t="s">
        <v>307</v>
      </c>
      <c r="AZ140" s="26" t="s">
        <v>308</v>
      </c>
      <c r="BA140" s="10" t="s">
        <v>59</v>
      </c>
      <c r="BC140" s="24">
        <f t="shared" si="17"/>
        <v>0</v>
      </c>
      <c r="BD140" s="24">
        <f t="shared" si="18"/>
        <v>0</v>
      </c>
      <c r="BE140" s="24">
        <v>0</v>
      </c>
      <c r="BF140" s="24">
        <f>140</f>
        <v>140</v>
      </c>
      <c r="BH140" s="24">
        <f t="shared" si="19"/>
        <v>0</v>
      </c>
      <c r="BI140" s="24">
        <f t="shared" si="20"/>
        <v>0</v>
      </c>
      <c r="BJ140" s="24">
        <f t="shared" si="21"/>
        <v>0</v>
      </c>
      <c r="BK140" s="24"/>
      <c r="BL140" s="24">
        <v>94</v>
      </c>
      <c r="BW140" s="24">
        <v>12</v>
      </c>
      <c r="BX140" s="4" t="s">
        <v>338</v>
      </c>
    </row>
    <row r="141" spans="1:76" ht="14.4" x14ac:dyDescent="0.3">
      <c r="A141" s="2" t="s">
        <v>339</v>
      </c>
      <c r="B141" s="3" t="s">
        <v>340</v>
      </c>
      <c r="C141" s="89" t="s">
        <v>341</v>
      </c>
      <c r="D141" s="90"/>
      <c r="E141" s="3" t="s">
        <v>96</v>
      </c>
      <c r="F141" s="24">
        <v>1</v>
      </c>
      <c r="G141" s="24">
        <v>0</v>
      </c>
      <c r="H141" s="24">
        <f t="shared" si="0"/>
        <v>0</v>
      </c>
      <c r="I141" s="24">
        <f t="shared" si="1"/>
        <v>0</v>
      </c>
      <c r="J141" s="24">
        <f t="shared" si="2"/>
        <v>0</v>
      </c>
      <c r="K141" s="25" t="s">
        <v>56</v>
      </c>
      <c r="Z141" s="24">
        <f t="shared" si="3"/>
        <v>0</v>
      </c>
      <c r="AB141" s="24">
        <f t="shared" si="4"/>
        <v>0</v>
      </c>
      <c r="AC141" s="24">
        <f t="shared" si="5"/>
        <v>0</v>
      </c>
      <c r="AD141" s="24">
        <f t="shared" si="6"/>
        <v>0</v>
      </c>
      <c r="AE141" s="24">
        <f t="shared" si="7"/>
        <v>0</v>
      </c>
      <c r="AF141" s="24">
        <f t="shared" si="8"/>
        <v>0</v>
      </c>
      <c r="AG141" s="24">
        <f t="shared" si="9"/>
        <v>0</v>
      </c>
      <c r="AH141" s="24">
        <f t="shared" si="10"/>
        <v>0</v>
      </c>
      <c r="AI141" s="10" t="s">
        <v>49</v>
      </c>
      <c r="AJ141" s="24">
        <f t="shared" si="11"/>
        <v>0</v>
      </c>
      <c r="AK141" s="24">
        <f t="shared" si="12"/>
        <v>0</v>
      </c>
      <c r="AL141" s="24">
        <f t="shared" si="13"/>
        <v>0</v>
      </c>
      <c r="AN141" s="24">
        <v>12</v>
      </c>
      <c r="AO141" s="24">
        <f>G141*0</f>
        <v>0</v>
      </c>
      <c r="AP141" s="24">
        <f>G141*(1-0)</f>
        <v>0</v>
      </c>
      <c r="AQ141" s="26" t="s">
        <v>52</v>
      </c>
      <c r="AV141" s="24">
        <f t="shared" si="14"/>
        <v>0</v>
      </c>
      <c r="AW141" s="24">
        <f t="shared" si="15"/>
        <v>0</v>
      </c>
      <c r="AX141" s="24">
        <f t="shared" si="16"/>
        <v>0</v>
      </c>
      <c r="AY141" s="26" t="s">
        <v>307</v>
      </c>
      <c r="AZ141" s="26" t="s">
        <v>308</v>
      </c>
      <c r="BA141" s="10" t="s">
        <v>59</v>
      </c>
      <c r="BC141" s="24">
        <f t="shared" si="17"/>
        <v>0</v>
      </c>
      <c r="BD141" s="24">
        <f t="shared" si="18"/>
        <v>0</v>
      </c>
      <c r="BE141" s="24">
        <v>0</v>
      </c>
      <c r="BF141" s="24">
        <f>141</f>
        <v>141</v>
      </c>
      <c r="BH141" s="24">
        <f t="shared" si="19"/>
        <v>0</v>
      </c>
      <c r="BI141" s="24">
        <f t="shared" si="20"/>
        <v>0</v>
      </c>
      <c r="BJ141" s="24">
        <f t="shared" si="21"/>
        <v>0</v>
      </c>
      <c r="BK141" s="24"/>
      <c r="BL141" s="24">
        <v>94</v>
      </c>
      <c r="BW141" s="24">
        <v>12</v>
      </c>
      <c r="BX141" s="4" t="s">
        <v>341</v>
      </c>
    </row>
    <row r="142" spans="1:76" ht="14.4" x14ac:dyDescent="0.3">
      <c r="A142" s="2" t="s">
        <v>342</v>
      </c>
      <c r="B142" s="3" t="s">
        <v>343</v>
      </c>
      <c r="C142" s="89" t="s">
        <v>344</v>
      </c>
      <c r="D142" s="90"/>
      <c r="E142" s="3" t="s">
        <v>345</v>
      </c>
      <c r="F142" s="24">
        <v>90</v>
      </c>
      <c r="G142" s="24">
        <v>0</v>
      </c>
      <c r="H142" s="24">
        <f t="shared" si="0"/>
        <v>0</v>
      </c>
      <c r="I142" s="24">
        <f t="shared" si="1"/>
        <v>0</v>
      </c>
      <c r="J142" s="24">
        <f t="shared" si="2"/>
        <v>0</v>
      </c>
      <c r="K142" s="25" t="s">
        <v>56</v>
      </c>
      <c r="Z142" s="24">
        <f t="shared" si="3"/>
        <v>0</v>
      </c>
      <c r="AB142" s="24">
        <f t="shared" si="4"/>
        <v>0</v>
      </c>
      <c r="AC142" s="24">
        <f t="shared" si="5"/>
        <v>0</v>
      </c>
      <c r="AD142" s="24">
        <f t="shared" si="6"/>
        <v>0</v>
      </c>
      <c r="AE142" s="24">
        <f t="shared" si="7"/>
        <v>0</v>
      </c>
      <c r="AF142" s="24">
        <f t="shared" si="8"/>
        <v>0</v>
      </c>
      <c r="AG142" s="24">
        <f t="shared" si="9"/>
        <v>0</v>
      </c>
      <c r="AH142" s="24">
        <f t="shared" si="10"/>
        <v>0</v>
      </c>
      <c r="AI142" s="10" t="s">
        <v>49</v>
      </c>
      <c r="AJ142" s="24">
        <f t="shared" si="11"/>
        <v>0</v>
      </c>
      <c r="AK142" s="24">
        <f t="shared" si="12"/>
        <v>0</v>
      </c>
      <c r="AL142" s="24">
        <f t="shared" si="13"/>
        <v>0</v>
      </c>
      <c r="AN142" s="24">
        <v>12</v>
      </c>
      <c r="AO142" s="24">
        <f>G142*0</f>
        <v>0</v>
      </c>
      <c r="AP142" s="24">
        <f>G142*(1-0)</f>
        <v>0</v>
      </c>
      <c r="AQ142" s="26" t="s">
        <v>52</v>
      </c>
      <c r="AV142" s="24">
        <f t="shared" si="14"/>
        <v>0</v>
      </c>
      <c r="AW142" s="24">
        <f t="shared" si="15"/>
        <v>0</v>
      </c>
      <c r="AX142" s="24">
        <f t="shared" si="16"/>
        <v>0</v>
      </c>
      <c r="AY142" s="26" t="s">
        <v>307</v>
      </c>
      <c r="AZ142" s="26" t="s">
        <v>308</v>
      </c>
      <c r="BA142" s="10" t="s">
        <v>59</v>
      </c>
      <c r="BC142" s="24">
        <f t="shared" si="17"/>
        <v>0</v>
      </c>
      <c r="BD142" s="24">
        <f t="shared" si="18"/>
        <v>0</v>
      </c>
      <c r="BE142" s="24">
        <v>0</v>
      </c>
      <c r="BF142" s="24">
        <f>142</f>
        <v>142</v>
      </c>
      <c r="BH142" s="24">
        <f t="shared" si="19"/>
        <v>0</v>
      </c>
      <c r="BI142" s="24">
        <f t="shared" si="20"/>
        <v>0</v>
      </c>
      <c r="BJ142" s="24">
        <f t="shared" si="21"/>
        <v>0</v>
      </c>
      <c r="BK142" s="24"/>
      <c r="BL142" s="24">
        <v>94</v>
      </c>
      <c r="BW142" s="24">
        <v>12</v>
      </c>
      <c r="BX142" s="4" t="s">
        <v>344</v>
      </c>
    </row>
    <row r="143" spans="1:76" ht="14.4" x14ac:dyDescent="0.3">
      <c r="A143" s="2" t="s">
        <v>346</v>
      </c>
      <c r="B143" s="3" t="s">
        <v>347</v>
      </c>
      <c r="C143" s="89" t="s">
        <v>348</v>
      </c>
      <c r="D143" s="90"/>
      <c r="E143" s="3" t="s">
        <v>96</v>
      </c>
      <c r="F143" s="24">
        <v>1</v>
      </c>
      <c r="G143" s="24">
        <v>0</v>
      </c>
      <c r="H143" s="24">
        <f t="shared" si="0"/>
        <v>0</v>
      </c>
      <c r="I143" s="24">
        <f t="shared" si="1"/>
        <v>0</v>
      </c>
      <c r="J143" s="24">
        <f t="shared" si="2"/>
        <v>0</v>
      </c>
      <c r="K143" s="25" t="s">
        <v>56</v>
      </c>
      <c r="Z143" s="24">
        <f t="shared" si="3"/>
        <v>0</v>
      </c>
      <c r="AB143" s="24">
        <f t="shared" si="4"/>
        <v>0</v>
      </c>
      <c r="AC143" s="24">
        <f t="shared" si="5"/>
        <v>0</v>
      </c>
      <c r="AD143" s="24">
        <f t="shared" si="6"/>
        <v>0</v>
      </c>
      <c r="AE143" s="24">
        <f t="shared" si="7"/>
        <v>0</v>
      </c>
      <c r="AF143" s="24">
        <f t="shared" si="8"/>
        <v>0</v>
      </c>
      <c r="AG143" s="24">
        <f t="shared" si="9"/>
        <v>0</v>
      </c>
      <c r="AH143" s="24">
        <f t="shared" si="10"/>
        <v>0</v>
      </c>
      <c r="AI143" s="10" t="s">
        <v>49</v>
      </c>
      <c r="AJ143" s="24">
        <f t="shared" si="11"/>
        <v>0</v>
      </c>
      <c r="AK143" s="24">
        <f t="shared" si="12"/>
        <v>0</v>
      </c>
      <c r="AL143" s="24">
        <f t="shared" si="13"/>
        <v>0</v>
      </c>
      <c r="AN143" s="24">
        <v>12</v>
      </c>
      <c r="AO143" s="24">
        <f>G143*0</f>
        <v>0</v>
      </c>
      <c r="AP143" s="24">
        <f>G143*(1-0)</f>
        <v>0</v>
      </c>
      <c r="AQ143" s="26" t="s">
        <v>52</v>
      </c>
      <c r="AV143" s="24">
        <f t="shared" si="14"/>
        <v>0</v>
      </c>
      <c r="AW143" s="24">
        <f t="shared" si="15"/>
        <v>0</v>
      </c>
      <c r="AX143" s="24">
        <f t="shared" si="16"/>
        <v>0</v>
      </c>
      <c r="AY143" s="26" t="s">
        <v>307</v>
      </c>
      <c r="AZ143" s="26" t="s">
        <v>308</v>
      </c>
      <c r="BA143" s="10" t="s">
        <v>59</v>
      </c>
      <c r="BC143" s="24">
        <f t="shared" si="17"/>
        <v>0</v>
      </c>
      <c r="BD143" s="24">
        <f t="shared" si="18"/>
        <v>0</v>
      </c>
      <c r="BE143" s="24">
        <v>0</v>
      </c>
      <c r="BF143" s="24">
        <f>143</f>
        <v>143</v>
      </c>
      <c r="BH143" s="24">
        <f t="shared" si="19"/>
        <v>0</v>
      </c>
      <c r="BI143" s="24">
        <f t="shared" si="20"/>
        <v>0</v>
      </c>
      <c r="BJ143" s="24">
        <f t="shared" si="21"/>
        <v>0</v>
      </c>
      <c r="BK143" s="24"/>
      <c r="BL143" s="24">
        <v>94</v>
      </c>
      <c r="BW143" s="24">
        <v>12</v>
      </c>
      <c r="BX143" s="4" t="s">
        <v>348</v>
      </c>
    </row>
    <row r="144" spans="1:76" ht="14.4" x14ac:dyDescent="0.3">
      <c r="A144" s="2" t="s">
        <v>349</v>
      </c>
      <c r="B144" s="3" t="s">
        <v>350</v>
      </c>
      <c r="C144" s="89" t="s">
        <v>351</v>
      </c>
      <c r="D144" s="90"/>
      <c r="E144" s="3" t="s">
        <v>352</v>
      </c>
      <c r="F144" s="24">
        <v>1</v>
      </c>
      <c r="G144" s="24">
        <v>0</v>
      </c>
      <c r="H144" s="24">
        <f t="shared" si="0"/>
        <v>0</v>
      </c>
      <c r="I144" s="24">
        <f t="shared" si="1"/>
        <v>0</v>
      </c>
      <c r="J144" s="24">
        <f t="shared" si="2"/>
        <v>0</v>
      </c>
      <c r="K144" s="25" t="s">
        <v>56</v>
      </c>
      <c r="Z144" s="24">
        <f t="shared" si="3"/>
        <v>0</v>
      </c>
      <c r="AB144" s="24">
        <f t="shared" si="4"/>
        <v>0</v>
      </c>
      <c r="AC144" s="24">
        <f t="shared" si="5"/>
        <v>0</v>
      </c>
      <c r="AD144" s="24">
        <f t="shared" si="6"/>
        <v>0</v>
      </c>
      <c r="AE144" s="24">
        <f t="shared" si="7"/>
        <v>0</v>
      </c>
      <c r="AF144" s="24">
        <f t="shared" si="8"/>
        <v>0</v>
      </c>
      <c r="AG144" s="24">
        <f t="shared" si="9"/>
        <v>0</v>
      </c>
      <c r="AH144" s="24">
        <f t="shared" si="10"/>
        <v>0</v>
      </c>
      <c r="AI144" s="10" t="s">
        <v>49</v>
      </c>
      <c r="AJ144" s="24">
        <f t="shared" si="11"/>
        <v>0</v>
      </c>
      <c r="AK144" s="24">
        <f t="shared" si="12"/>
        <v>0</v>
      </c>
      <c r="AL144" s="24">
        <f t="shared" si="13"/>
        <v>0</v>
      </c>
      <c r="AN144" s="24">
        <v>12</v>
      </c>
      <c r="AO144" s="24">
        <f>G144*0</f>
        <v>0</v>
      </c>
      <c r="AP144" s="24">
        <f>G144*(1-0)</f>
        <v>0</v>
      </c>
      <c r="AQ144" s="26" t="s">
        <v>52</v>
      </c>
      <c r="AV144" s="24">
        <f t="shared" si="14"/>
        <v>0</v>
      </c>
      <c r="AW144" s="24">
        <f t="shared" si="15"/>
        <v>0</v>
      </c>
      <c r="AX144" s="24">
        <f t="shared" si="16"/>
        <v>0</v>
      </c>
      <c r="AY144" s="26" t="s">
        <v>307</v>
      </c>
      <c r="AZ144" s="26" t="s">
        <v>308</v>
      </c>
      <c r="BA144" s="10" t="s">
        <v>59</v>
      </c>
      <c r="BC144" s="24">
        <f t="shared" si="17"/>
        <v>0</v>
      </c>
      <c r="BD144" s="24">
        <f t="shared" si="18"/>
        <v>0</v>
      </c>
      <c r="BE144" s="24">
        <v>0</v>
      </c>
      <c r="BF144" s="24">
        <f>144</f>
        <v>144</v>
      </c>
      <c r="BH144" s="24">
        <f t="shared" si="19"/>
        <v>0</v>
      </c>
      <c r="BI144" s="24">
        <f t="shared" si="20"/>
        <v>0</v>
      </c>
      <c r="BJ144" s="24">
        <f t="shared" si="21"/>
        <v>0</v>
      </c>
      <c r="BK144" s="24"/>
      <c r="BL144" s="24">
        <v>94</v>
      </c>
      <c r="BW144" s="24">
        <v>12</v>
      </c>
      <c r="BX144" s="4" t="s">
        <v>351</v>
      </c>
    </row>
    <row r="145" spans="1:76" ht="13.5" customHeight="1" x14ac:dyDescent="0.3">
      <c r="A145" s="27"/>
      <c r="B145" s="28" t="s">
        <v>86</v>
      </c>
      <c r="C145" s="95" t="s">
        <v>353</v>
      </c>
      <c r="D145" s="96"/>
      <c r="E145" s="96"/>
      <c r="F145" s="96"/>
      <c r="G145" s="96"/>
      <c r="H145" s="96"/>
      <c r="I145" s="96"/>
      <c r="J145" s="96"/>
      <c r="K145" s="97"/>
    </row>
    <row r="146" spans="1:76" ht="14.4" x14ac:dyDescent="0.3">
      <c r="A146" s="27"/>
      <c r="B146" s="28" t="s">
        <v>63</v>
      </c>
      <c r="C146" s="95" t="s">
        <v>742</v>
      </c>
      <c r="D146" s="96"/>
      <c r="E146" s="96"/>
      <c r="F146" s="96"/>
      <c r="G146" s="96"/>
      <c r="H146" s="96"/>
      <c r="I146" s="96"/>
      <c r="J146" s="96"/>
      <c r="K146" s="97"/>
      <c r="BX146" s="29" t="s">
        <v>354</v>
      </c>
    </row>
    <row r="147" spans="1:76" ht="14.4" x14ac:dyDescent="0.3">
      <c r="A147" s="2" t="s">
        <v>355</v>
      </c>
      <c r="B147" s="3" t="s">
        <v>356</v>
      </c>
      <c r="C147" s="89" t="s">
        <v>357</v>
      </c>
      <c r="D147" s="90"/>
      <c r="E147" s="3" t="s">
        <v>345</v>
      </c>
      <c r="F147" s="24">
        <v>60</v>
      </c>
      <c r="G147" s="24">
        <v>0</v>
      </c>
      <c r="H147" s="24">
        <f>ROUND(F147*AO147,2)</f>
        <v>0</v>
      </c>
      <c r="I147" s="24">
        <f>ROUND(F147*AP147,2)</f>
        <v>0</v>
      </c>
      <c r="J147" s="24">
        <f>ROUND(F147*G147,2)</f>
        <v>0</v>
      </c>
      <c r="K147" s="25" t="s">
        <v>56</v>
      </c>
      <c r="Z147" s="24">
        <f>ROUND(IF(AQ147="5",BJ147,0),2)</f>
        <v>0</v>
      </c>
      <c r="AB147" s="24">
        <f>ROUND(IF(AQ147="1",BH147,0),2)</f>
        <v>0</v>
      </c>
      <c r="AC147" s="24">
        <f>ROUND(IF(AQ147="1",BI147,0),2)</f>
        <v>0</v>
      </c>
      <c r="AD147" s="24">
        <f>ROUND(IF(AQ147="7",BH147,0),2)</f>
        <v>0</v>
      </c>
      <c r="AE147" s="24">
        <f>ROUND(IF(AQ147="7",BI147,0),2)</f>
        <v>0</v>
      </c>
      <c r="AF147" s="24">
        <f>ROUND(IF(AQ147="2",BH147,0),2)</f>
        <v>0</v>
      </c>
      <c r="AG147" s="24">
        <f>ROUND(IF(AQ147="2",BI147,0),2)</f>
        <v>0</v>
      </c>
      <c r="AH147" s="24">
        <f>ROUND(IF(AQ147="0",BJ147,0),2)</f>
        <v>0</v>
      </c>
      <c r="AI147" s="10" t="s">
        <v>49</v>
      </c>
      <c r="AJ147" s="24">
        <f>IF(AN147=0,J147,0)</f>
        <v>0</v>
      </c>
      <c r="AK147" s="24">
        <f>IF(AN147=12,J147,0)</f>
        <v>0</v>
      </c>
      <c r="AL147" s="24">
        <f>IF(AN147=21,J147,0)</f>
        <v>0</v>
      </c>
      <c r="AN147" s="24">
        <v>12</v>
      </c>
      <c r="AO147" s="24">
        <f>G147*0</f>
        <v>0</v>
      </c>
      <c r="AP147" s="24">
        <f>G147*(1-0)</f>
        <v>0</v>
      </c>
      <c r="AQ147" s="26" t="s">
        <v>52</v>
      </c>
      <c r="AV147" s="24">
        <f>ROUND(AW147+AX147,2)</f>
        <v>0</v>
      </c>
      <c r="AW147" s="24">
        <f>ROUND(F147*AO147,2)</f>
        <v>0</v>
      </c>
      <c r="AX147" s="24">
        <f>ROUND(F147*AP147,2)</f>
        <v>0</v>
      </c>
      <c r="AY147" s="26" t="s">
        <v>307</v>
      </c>
      <c r="AZ147" s="26" t="s">
        <v>308</v>
      </c>
      <c r="BA147" s="10" t="s">
        <v>59</v>
      </c>
      <c r="BC147" s="24">
        <f>AW147+AX147</f>
        <v>0</v>
      </c>
      <c r="BD147" s="24">
        <f>G147/(100-BE147)*100</f>
        <v>0</v>
      </c>
      <c r="BE147" s="24">
        <v>0</v>
      </c>
      <c r="BF147" s="24">
        <f>147</f>
        <v>147</v>
      </c>
      <c r="BH147" s="24">
        <f>F147*AO147</f>
        <v>0</v>
      </c>
      <c r="BI147" s="24">
        <f>F147*AP147</f>
        <v>0</v>
      </c>
      <c r="BJ147" s="24">
        <f>F147*G147</f>
        <v>0</v>
      </c>
      <c r="BK147" s="24"/>
      <c r="BL147" s="24">
        <v>94</v>
      </c>
      <c r="BW147" s="24">
        <v>12</v>
      </c>
      <c r="BX147" s="4" t="s">
        <v>357</v>
      </c>
    </row>
    <row r="148" spans="1:76" ht="13.5" customHeight="1" x14ac:dyDescent="0.3">
      <c r="A148" s="27"/>
      <c r="B148" s="28" t="s">
        <v>86</v>
      </c>
      <c r="C148" s="95" t="s">
        <v>353</v>
      </c>
      <c r="D148" s="96"/>
      <c r="E148" s="96"/>
      <c r="F148" s="96"/>
      <c r="G148" s="96"/>
      <c r="H148" s="96"/>
      <c r="I148" s="96"/>
      <c r="J148" s="96"/>
      <c r="K148" s="97"/>
    </row>
    <row r="149" spans="1:76" ht="14.4" x14ac:dyDescent="0.3">
      <c r="A149" s="27"/>
      <c r="B149" s="28" t="s">
        <v>63</v>
      </c>
      <c r="C149" s="95" t="s">
        <v>743</v>
      </c>
      <c r="D149" s="96"/>
      <c r="E149" s="96"/>
      <c r="F149" s="96"/>
      <c r="G149" s="96"/>
      <c r="H149" s="96"/>
      <c r="I149" s="96"/>
      <c r="J149" s="96"/>
      <c r="K149" s="97"/>
      <c r="BX149" s="29" t="s">
        <v>358</v>
      </c>
    </row>
    <row r="150" spans="1:76" ht="14.4" x14ac:dyDescent="0.3">
      <c r="A150" s="2" t="s">
        <v>359</v>
      </c>
      <c r="B150" s="3" t="s">
        <v>360</v>
      </c>
      <c r="C150" s="89" t="s">
        <v>361</v>
      </c>
      <c r="D150" s="90"/>
      <c r="E150" s="3" t="s">
        <v>362</v>
      </c>
      <c r="F150" s="24">
        <v>1</v>
      </c>
      <c r="G150" s="24">
        <v>0</v>
      </c>
      <c r="H150" s="24">
        <f>ROUND(F150*AO150,2)</f>
        <v>0</v>
      </c>
      <c r="I150" s="24">
        <f>ROUND(F150*AP150,2)</f>
        <v>0</v>
      </c>
      <c r="J150" s="24">
        <f>ROUND(F150*G150,2)</f>
        <v>0</v>
      </c>
      <c r="K150" s="25" t="s">
        <v>56</v>
      </c>
      <c r="Z150" s="24">
        <f>ROUND(IF(AQ150="5",BJ150,0),2)</f>
        <v>0</v>
      </c>
      <c r="AB150" s="24">
        <f>ROUND(IF(AQ150="1",BH150,0),2)</f>
        <v>0</v>
      </c>
      <c r="AC150" s="24">
        <f>ROUND(IF(AQ150="1",BI150,0),2)</f>
        <v>0</v>
      </c>
      <c r="AD150" s="24">
        <f>ROUND(IF(AQ150="7",BH150,0),2)</f>
        <v>0</v>
      </c>
      <c r="AE150" s="24">
        <f>ROUND(IF(AQ150="7",BI150,0),2)</f>
        <v>0</v>
      </c>
      <c r="AF150" s="24">
        <f>ROUND(IF(AQ150="2",BH150,0),2)</f>
        <v>0</v>
      </c>
      <c r="AG150" s="24">
        <f>ROUND(IF(AQ150="2",BI150,0),2)</f>
        <v>0</v>
      </c>
      <c r="AH150" s="24">
        <f>ROUND(IF(AQ150="0",BJ150,0),2)</f>
        <v>0</v>
      </c>
      <c r="AI150" s="10" t="s">
        <v>49</v>
      </c>
      <c r="AJ150" s="24">
        <f>IF(AN150=0,J150,0)</f>
        <v>0</v>
      </c>
      <c r="AK150" s="24">
        <f>IF(AN150=12,J150,0)</f>
        <v>0</v>
      </c>
      <c r="AL150" s="24">
        <f>IF(AN150=21,J150,0)</f>
        <v>0</v>
      </c>
      <c r="AN150" s="24">
        <v>12</v>
      </c>
      <c r="AO150" s="24">
        <f>G150*0</f>
        <v>0</v>
      </c>
      <c r="AP150" s="24">
        <f>G150*(1-0)</f>
        <v>0</v>
      </c>
      <c r="AQ150" s="26" t="s">
        <v>52</v>
      </c>
      <c r="AV150" s="24">
        <f>ROUND(AW150+AX150,2)</f>
        <v>0</v>
      </c>
      <c r="AW150" s="24">
        <f>ROUND(F150*AO150,2)</f>
        <v>0</v>
      </c>
      <c r="AX150" s="24">
        <f>ROUND(F150*AP150,2)</f>
        <v>0</v>
      </c>
      <c r="AY150" s="26" t="s">
        <v>307</v>
      </c>
      <c r="AZ150" s="26" t="s">
        <v>308</v>
      </c>
      <c r="BA150" s="10" t="s">
        <v>59</v>
      </c>
      <c r="BC150" s="24">
        <f>AW150+AX150</f>
        <v>0</v>
      </c>
      <c r="BD150" s="24">
        <f>G150/(100-BE150)*100</f>
        <v>0</v>
      </c>
      <c r="BE150" s="24">
        <v>0</v>
      </c>
      <c r="BF150" s="24">
        <f>150</f>
        <v>150</v>
      </c>
      <c r="BH150" s="24">
        <f>F150*AO150</f>
        <v>0</v>
      </c>
      <c r="BI150" s="24">
        <f>F150*AP150</f>
        <v>0</v>
      </c>
      <c r="BJ150" s="24">
        <f>F150*G150</f>
        <v>0</v>
      </c>
      <c r="BK150" s="24"/>
      <c r="BL150" s="24">
        <v>94</v>
      </c>
      <c r="BW150" s="24">
        <v>12</v>
      </c>
      <c r="BX150" s="4" t="s">
        <v>361</v>
      </c>
    </row>
    <row r="151" spans="1:76" ht="14.4" x14ac:dyDescent="0.3">
      <c r="A151" s="27"/>
      <c r="B151" s="28" t="s">
        <v>63</v>
      </c>
      <c r="C151" s="95" t="s">
        <v>744</v>
      </c>
      <c r="D151" s="96"/>
      <c r="E151" s="96"/>
      <c r="F151" s="96"/>
      <c r="G151" s="96"/>
      <c r="H151" s="96"/>
      <c r="I151" s="96"/>
      <c r="J151" s="96"/>
      <c r="K151" s="97"/>
      <c r="BX151" s="29" t="s">
        <v>363</v>
      </c>
    </row>
    <row r="152" spans="1:76" ht="14.4" x14ac:dyDescent="0.3">
      <c r="A152" s="2" t="s">
        <v>364</v>
      </c>
      <c r="B152" s="3" t="s">
        <v>365</v>
      </c>
      <c r="C152" s="89" t="s">
        <v>366</v>
      </c>
      <c r="D152" s="90"/>
      <c r="E152" s="3" t="s">
        <v>352</v>
      </c>
      <c r="F152" s="24">
        <v>1</v>
      </c>
      <c r="G152" s="24">
        <v>0</v>
      </c>
      <c r="H152" s="24">
        <f>ROUND(F152*AO152,2)</f>
        <v>0</v>
      </c>
      <c r="I152" s="24">
        <f>ROUND(F152*AP152,2)</f>
        <v>0</v>
      </c>
      <c r="J152" s="24">
        <f>ROUND(F152*G152,2)</f>
        <v>0</v>
      </c>
      <c r="K152" s="25" t="s">
        <v>56</v>
      </c>
      <c r="Z152" s="24">
        <f>ROUND(IF(AQ152="5",BJ152,0),2)</f>
        <v>0</v>
      </c>
      <c r="AB152" s="24">
        <f>ROUND(IF(AQ152="1",BH152,0),2)</f>
        <v>0</v>
      </c>
      <c r="AC152" s="24">
        <f>ROUND(IF(AQ152="1",BI152,0),2)</f>
        <v>0</v>
      </c>
      <c r="AD152" s="24">
        <f>ROUND(IF(AQ152="7",BH152,0),2)</f>
        <v>0</v>
      </c>
      <c r="AE152" s="24">
        <f>ROUND(IF(AQ152="7",BI152,0),2)</f>
        <v>0</v>
      </c>
      <c r="AF152" s="24">
        <f>ROUND(IF(AQ152="2",BH152,0),2)</f>
        <v>0</v>
      </c>
      <c r="AG152" s="24">
        <f>ROUND(IF(AQ152="2",BI152,0),2)</f>
        <v>0</v>
      </c>
      <c r="AH152" s="24">
        <f>ROUND(IF(AQ152="0",BJ152,0),2)</f>
        <v>0</v>
      </c>
      <c r="AI152" s="10" t="s">
        <v>49</v>
      </c>
      <c r="AJ152" s="24">
        <f>IF(AN152=0,J152,0)</f>
        <v>0</v>
      </c>
      <c r="AK152" s="24">
        <f>IF(AN152=12,J152,0)</f>
        <v>0</v>
      </c>
      <c r="AL152" s="24">
        <f>IF(AN152=21,J152,0)</f>
        <v>0</v>
      </c>
      <c r="AN152" s="24">
        <v>12</v>
      </c>
      <c r="AO152" s="24">
        <f>G152*0</f>
        <v>0</v>
      </c>
      <c r="AP152" s="24">
        <f>G152*(1-0)</f>
        <v>0</v>
      </c>
      <c r="AQ152" s="26" t="s">
        <v>52</v>
      </c>
      <c r="AV152" s="24">
        <f>ROUND(AW152+AX152,2)</f>
        <v>0</v>
      </c>
      <c r="AW152" s="24">
        <f>ROUND(F152*AO152,2)</f>
        <v>0</v>
      </c>
      <c r="AX152" s="24">
        <f>ROUND(F152*AP152,2)</f>
        <v>0</v>
      </c>
      <c r="AY152" s="26" t="s">
        <v>307</v>
      </c>
      <c r="AZ152" s="26" t="s">
        <v>308</v>
      </c>
      <c r="BA152" s="10" t="s">
        <v>59</v>
      </c>
      <c r="BC152" s="24">
        <f>AW152+AX152</f>
        <v>0</v>
      </c>
      <c r="BD152" s="24">
        <f>G152/(100-BE152)*100</f>
        <v>0</v>
      </c>
      <c r="BE152" s="24">
        <v>0</v>
      </c>
      <c r="BF152" s="24">
        <f>152</f>
        <v>152</v>
      </c>
      <c r="BH152" s="24">
        <f>F152*AO152</f>
        <v>0</v>
      </c>
      <c r="BI152" s="24">
        <f>F152*AP152</f>
        <v>0</v>
      </c>
      <c r="BJ152" s="24">
        <f>F152*G152</f>
        <v>0</v>
      </c>
      <c r="BK152" s="24"/>
      <c r="BL152" s="24">
        <v>94</v>
      </c>
      <c r="BW152" s="24">
        <v>12</v>
      </c>
      <c r="BX152" s="4" t="s">
        <v>366</v>
      </c>
    </row>
    <row r="153" spans="1:76" ht="13.5" customHeight="1" x14ac:dyDescent="0.3">
      <c r="A153" s="27"/>
      <c r="B153" s="28" t="s">
        <v>86</v>
      </c>
      <c r="C153" s="95" t="s">
        <v>367</v>
      </c>
      <c r="D153" s="96"/>
      <c r="E153" s="96"/>
      <c r="F153" s="96"/>
      <c r="G153" s="96"/>
      <c r="H153" s="96"/>
      <c r="I153" s="96"/>
      <c r="J153" s="96"/>
      <c r="K153" s="97"/>
    </row>
    <row r="154" spans="1:76" ht="14.4" x14ac:dyDescent="0.3">
      <c r="A154" s="27"/>
      <c r="B154" s="28" t="s">
        <v>63</v>
      </c>
      <c r="C154" s="95" t="s">
        <v>745</v>
      </c>
      <c r="D154" s="96"/>
      <c r="E154" s="96"/>
      <c r="F154" s="96"/>
      <c r="G154" s="96"/>
      <c r="H154" s="96"/>
      <c r="I154" s="96"/>
      <c r="J154" s="96"/>
      <c r="K154" s="97"/>
      <c r="BX154" s="29" t="s">
        <v>368</v>
      </c>
    </row>
    <row r="155" spans="1:76" ht="14.4" x14ac:dyDescent="0.3">
      <c r="A155" s="2" t="s">
        <v>369</v>
      </c>
      <c r="B155" s="3" t="s">
        <v>370</v>
      </c>
      <c r="C155" s="89" t="s">
        <v>371</v>
      </c>
      <c r="D155" s="90"/>
      <c r="E155" s="3" t="s">
        <v>345</v>
      </c>
      <c r="F155" s="24">
        <v>90</v>
      </c>
      <c r="G155" s="24">
        <v>0</v>
      </c>
      <c r="H155" s="24">
        <f>ROUND(F155*AO155,2)</f>
        <v>0</v>
      </c>
      <c r="I155" s="24">
        <f>ROUND(F155*AP155,2)</f>
        <v>0</v>
      </c>
      <c r="J155" s="24">
        <f>ROUND(F155*G155,2)</f>
        <v>0</v>
      </c>
      <c r="K155" s="25" t="s">
        <v>56</v>
      </c>
      <c r="Z155" s="24">
        <f>ROUND(IF(AQ155="5",BJ155,0),2)</f>
        <v>0</v>
      </c>
      <c r="AB155" s="24">
        <f>ROUND(IF(AQ155="1",BH155,0),2)</f>
        <v>0</v>
      </c>
      <c r="AC155" s="24">
        <f>ROUND(IF(AQ155="1",BI155,0),2)</f>
        <v>0</v>
      </c>
      <c r="AD155" s="24">
        <f>ROUND(IF(AQ155="7",BH155,0),2)</f>
        <v>0</v>
      </c>
      <c r="AE155" s="24">
        <f>ROUND(IF(AQ155="7",BI155,0),2)</f>
        <v>0</v>
      </c>
      <c r="AF155" s="24">
        <f>ROUND(IF(AQ155="2",BH155,0),2)</f>
        <v>0</v>
      </c>
      <c r="AG155" s="24">
        <f>ROUND(IF(AQ155="2",BI155,0),2)</f>
        <v>0</v>
      </c>
      <c r="AH155" s="24">
        <f>ROUND(IF(AQ155="0",BJ155,0),2)</f>
        <v>0</v>
      </c>
      <c r="AI155" s="10" t="s">
        <v>49</v>
      </c>
      <c r="AJ155" s="24">
        <f>IF(AN155=0,J155,0)</f>
        <v>0</v>
      </c>
      <c r="AK155" s="24">
        <f>IF(AN155=12,J155,0)</f>
        <v>0</v>
      </c>
      <c r="AL155" s="24">
        <f>IF(AN155=21,J155,0)</f>
        <v>0</v>
      </c>
      <c r="AN155" s="24">
        <v>12</v>
      </c>
      <c r="AO155" s="24">
        <f>G155*0</f>
        <v>0</v>
      </c>
      <c r="AP155" s="24">
        <f>G155*(1-0)</f>
        <v>0</v>
      </c>
      <c r="AQ155" s="26" t="s">
        <v>52</v>
      </c>
      <c r="AV155" s="24">
        <f>ROUND(AW155+AX155,2)</f>
        <v>0</v>
      </c>
      <c r="AW155" s="24">
        <f>ROUND(F155*AO155,2)</f>
        <v>0</v>
      </c>
      <c r="AX155" s="24">
        <f>ROUND(F155*AP155,2)</f>
        <v>0</v>
      </c>
      <c r="AY155" s="26" t="s">
        <v>307</v>
      </c>
      <c r="AZ155" s="26" t="s">
        <v>308</v>
      </c>
      <c r="BA155" s="10" t="s">
        <v>59</v>
      </c>
      <c r="BC155" s="24">
        <f>AW155+AX155</f>
        <v>0</v>
      </c>
      <c r="BD155" s="24">
        <f>G155/(100-BE155)*100</f>
        <v>0</v>
      </c>
      <c r="BE155" s="24">
        <v>0</v>
      </c>
      <c r="BF155" s="24">
        <f>155</f>
        <v>155</v>
      </c>
      <c r="BH155" s="24">
        <f>F155*AO155</f>
        <v>0</v>
      </c>
      <c r="BI155" s="24">
        <f>F155*AP155</f>
        <v>0</v>
      </c>
      <c r="BJ155" s="24">
        <f>F155*G155</f>
        <v>0</v>
      </c>
      <c r="BK155" s="24"/>
      <c r="BL155" s="24">
        <v>94</v>
      </c>
      <c r="BW155" s="24">
        <v>12</v>
      </c>
      <c r="BX155" s="4" t="s">
        <v>371</v>
      </c>
    </row>
    <row r="156" spans="1:76" ht="14.4" x14ac:dyDescent="0.3">
      <c r="A156" s="30" t="s">
        <v>49</v>
      </c>
      <c r="B156" s="31" t="s">
        <v>372</v>
      </c>
      <c r="C156" s="91" t="s">
        <v>373</v>
      </c>
      <c r="D156" s="92"/>
      <c r="E156" s="32" t="s">
        <v>4</v>
      </c>
      <c r="F156" s="32" t="s">
        <v>4</v>
      </c>
      <c r="G156" s="32" t="s">
        <v>4</v>
      </c>
      <c r="H156" s="1">
        <f>SUM(H157:H172)</f>
        <v>0</v>
      </c>
      <c r="I156" s="1">
        <f>SUM(I157:I172)</f>
        <v>0</v>
      </c>
      <c r="J156" s="1">
        <f>SUM(J157:J172)</f>
        <v>0</v>
      </c>
      <c r="K156" s="33" t="s">
        <v>49</v>
      </c>
      <c r="AI156" s="10" t="s">
        <v>49</v>
      </c>
      <c r="AS156" s="1">
        <f>SUM(AJ157:AJ172)</f>
        <v>0</v>
      </c>
      <c r="AT156" s="1">
        <f>SUM(AK157:AK172)</f>
        <v>0</v>
      </c>
      <c r="AU156" s="1">
        <f>SUM(AL157:AL172)</f>
        <v>0</v>
      </c>
    </row>
    <row r="157" spans="1:76" ht="14.4" x14ac:dyDescent="0.3">
      <c r="A157" s="2" t="s">
        <v>374</v>
      </c>
      <c r="B157" s="3" t="s">
        <v>375</v>
      </c>
      <c r="C157" s="89" t="s">
        <v>376</v>
      </c>
      <c r="D157" s="90"/>
      <c r="E157" s="3" t="s">
        <v>83</v>
      </c>
      <c r="F157" s="24">
        <v>9.1</v>
      </c>
      <c r="G157" s="24">
        <v>0</v>
      </c>
      <c r="H157" s="24">
        <f>ROUND(F157*AO157,2)</f>
        <v>0</v>
      </c>
      <c r="I157" s="24">
        <f>ROUND(F157*AP157,2)</f>
        <v>0</v>
      </c>
      <c r="J157" s="24">
        <f>ROUND(F157*G157,2)</f>
        <v>0</v>
      </c>
      <c r="K157" s="25" t="s">
        <v>56</v>
      </c>
      <c r="Z157" s="24">
        <f>ROUND(IF(AQ157="5",BJ157,0),2)</f>
        <v>0</v>
      </c>
      <c r="AB157" s="24">
        <f>ROUND(IF(AQ157="1",BH157,0),2)</f>
        <v>0</v>
      </c>
      <c r="AC157" s="24">
        <f>ROUND(IF(AQ157="1",BI157,0),2)</f>
        <v>0</v>
      </c>
      <c r="AD157" s="24">
        <f>ROUND(IF(AQ157="7",BH157,0),2)</f>
        <v>0</v>
      </c>
      <c r="AE157" s="24">
        <f>ROUND(IF(AQ157="7",BI157,0),2)</f>
        <v>0</v>
      </c>
      <c r="AF157" s="24">
        <f>ROUND(IF(AQ157="2",BH157,0),2)</f>
        <v>0</v>
      </c>
      <c r="AG157" s="24">
        <f>ROUND(IF(AQ157="2",BI157,0),2)</f>
        <v>0</v>
      </c>
      <c r="AH157" s="24">
        <f>ROUND(IF(AQ157="0",BJ157,0),2)</f>
        <v>0</v>
      </c>
      <c r="AI157" s="10" t="s">
        <v>49</v>
      </c>
      <c r="AJ157" s="24">
        <f>IF(AN157=0,J157,0)</f>
        <v>0</v>
      </c>
      <c r="AK157" s="24">
        <f>IF(AN157=12,J157,0)</f>
        <v>0</v>
      </c>
      <c r="AL157" s="24">
        <f>IF(AN157=21,J157,0)</f>
        <v>0</v>
      </c>
      <c r="AN157" s="24">
        <v>12</v>
      </c>
      <c r="AO157" s="24">
        <f>G157*0</f>
        <v>0</v>
      </c>
      <c r="AP157" s="24">
        <f>G157*(1-0)</f>
        <v>0</v>
      </c>
      <c r="AQ157" s="26" t="s">
        <v>52</v>
      </c>
      <c r="AV157" s="24">
        <f>ROUND(AW157+AX157,2)</f>
        <v>0</v>
      </c>
      <c r="AW157" s="24">
        <f>ROUND(F157*AO157,2)</f>
        <v>0</v>
      </c>
      <c r="AX157" s="24">
        <f>ROUND(F157*AP157,2)</f>
        <v>0</v>
      </c>
      <c r="AY157" s="26" t="s">
        <v>377</v>
      </c>
      <c r="AZ157" s="26" t="s">
        <v>308</v>
      </c>
      <c r="BA157" s="10" t="s">
        <v>59</v>
      </c>
      <c r="BC157" s="24">
        <f>AW157+AX157</f>
        <v>0</v>
      </c>
      <c r="BD157" s="24">
        <f>G157/(100-BE157)*100</f>
        <v>0</v>
      </c>
      <c r="BE157" s="24">
        <v>0</v>
      </c>
      <c r="BF157" s="24">
        <f>157</f>
        <v>157</v>
      </c>
      <c r="BH157" s="24">
        <f>F157*AO157</f>
        <v>0</v>
      </c>
      <c r="BI157" s="24">
        <f>F157*AP157</f>
        <v>0</v>
      </c>
      <c r="BJ157" s="24">
        <f>F157*G157</f>
        <v>0</v>
      </c>
      <c r="BK157" s="24"/>
      <c r="BL157" s="24">
        <v>96</v>
      </c>
      <c r="BW157" s="24">
        <v>12</v>
      </c>
      <c r="BX157" s="4" t="s">
        <v>376</v>
      </c>
    </row>
    <row r="158" spans="1:76" ht="26.4" x14ac:dyDescent="0.3">
      <c r="A158" s="27"/>
      <c r="B158" s="28" t="s">
        <v>63</v>
      </c>
      <c r="C158" s="95" t="s">
        <v>378</v>
      </c>
      <c r="D158" s="96"/>
      <c r="E158" s="96"/>
      <c r="F158" s="96"/>
      <c r="G158" s="96"/>
      <c r="H158" s="96"/>
      <c r="I158" s="96"/>
      <c r="J158" s="96"/>
      <c r="K158" s="97"/>
      <c r="BX158" s="29" t="s">
        <v>378</v>
      </c>
    </row>
    <row r="159" spans="1:76" ht="14.4" x14ac:dyDescent="0.3">
      <c r="A159" s="2" t="s">
        <v>379</v>
      </c>
      <c r="B159" s="3" t="s">
        <v>375</v>
      </c>
      <c r="C159" s="89" t="s">
        <v>376</v>
      </c>
      <c r="D159" s="90"/>
      <c r="E159" s="3" t="s">
        <v>83</v>
      </c>
      <c r="F159" s="24">
        <v>5.4</v>
      </c>
      <c r="G159" s="24">
        <v>0</v>
      </c>
      <c r="H159" s="24">
        <f>ROUND(F159*AO159,2)</f>
        <v>0</v>
      </c>
      <c r="I159" s="24">
        <f>ROUND(F159*AP159,2)</f>
        <v>0</v>
      </c>
      <c r="J159" s="24">
        <f>ROUND(F159*G159,2)</f>
        <v>0</v>
      </c>
      <c r="K159" s="25" t="s">
        <v>56</v>
      </c>
      <c r="Z159" s="24">
        <f>ROUND(IF(AQ159="5",BJ159,0),2)</f>
        <v>0</v>
      </c>
      <c r="AB159" s="24">
        <f>ROUND(IF(AQ159="1",BH159,0),2)</f>
        <v>0</v>
      </c>
      <c r="AC159" s="24">
        <f>ROUND(IF(AQ159="1",BI159,0),2)</f>
        <v>0</v>
      </c>
      <c r="AD159" s="24">
        <f>ROUND(IF(AQ159="7",BH159,0),2)</f>
        <v>0</v>
      </c>
      <c r="AE159" s="24">
        <f>ROUND(IF(AQ159="7",BI159,0),2)</f>
        <v>0</v>
      </c>
      <c r="AF159" s="24">
        <f>ROUND(IF(AQ159="2",BH159,0),2)</f>
        <v>0</v>
      </c>
      <c r="AG159" s="24">
        <f>ROUND(IF(AQ159="2",BI159,0),2)</f>
        <v>0</v>
      </c>
      <c r="AH159" s="24">
        <f>ROUND(IF(AQ159="0",BJ159,0),2)</f>
        <v>0</v>
      </c>
      <c r="AI159" s="10" t="s">
        <v>49</v>
      </c>
      <c r="AJ159" s="24">
        <f>IF(AN159=0,J159,0)</f>
        <v>0</v>
      </c>
      <c r="AK159" s="24">
        <f>IF(AN159=12,J159,0)</f>
        <v>0</v>
      </c>
      <c r="AL159" s="24">
        <f>IF(AN159=21,J159,0)</f>
        <v>0</v>
      </c>
      <c r="AN159" s="24">
        <v>12</v>
      </c>
      <c r="AO159" s="24">
        <f>G159*0</f>
        <v>0</v>
      </c>
      <c r="AP159" s="24">
        <f>G159*(1-0)</f>
        <v>0</v>
      </c>
      <c r="AQ159" s="26" t="s">
        <v>52</v>
      </c>
      <c r="AV159" s="24">
        <f>ROUND(AW159+AX159,2)</f>
        <v>0</v>
      </c>
      <c r="AW159" s="24">
        <f>ROUND(F159*AO159,2)</f>
        <v>0</v>
      </c>
      <c r="AX159" s="24">
        <f>ROUND(F159*AP159,2)</f>
        <v>0</v>
      </c>
      <c r="AY159" s="26" t="s">
        <v>377</v>
      </c>
      <c r="AZ159" s="26" t="s">
        <v>308</v>
      </c>
      <c r="BA159" s="10" t="s">
        <v>59</v>
      </c>
      <c r="BC159" s="24">
        <f>AW159+AX159</f>
        <v>0</v>
      </c>
      <c r="BD159" s="24">
        <f>G159/(100-BE159)*100</f>
        <v>0</v>
      </c>
      <c r="BE159" s="24">
        <v>0</v>
      </c>
      <c r="BF159" s="24">
        <f>159</f>
        <v>159</v>
      </c>
      <c r="BH159" s="24">
        <f>F159*AO159</f>
        <v>0</v>
      </c>
      <c r="BI159" s="24">
        <f>F159*AP159</f>
        <v>0</v>
      </c>
      <c r="BJ159" s="24">
        <f>F159*G159</f>
        <v>0</v>
      </c>
      <c r="BK159" s="24"/>
      <c r="BL159" s="24">
        <v>96</v>
      </c>
      <c r="BW159" s="24">
        <v>12</v>
      </c>
      <c r="BX159" s="4" t="s">
        <v>376</v>
      </c>
    </row>
    <row r="160" spans="1:76" ht="26.4" x14ac:dyDescent="0.3">
      <c r="A160" s="27"/>
      <c r="B160" s="28" t="s">
        <v>63</v>
      </c>
      <c r="C160" s="95" t="s">
        <v>378</v>
      </c>
      <c r="D160" s="96"/>
      <c r="E160" s="96"/>
      <c r="F160" s="96"/>
      <c r="G160" s="96"/>
      <c r="H160" s="96"/>
      <c r="I160" s="96"/>
      <c r="J160" s="96"/>
      <c r="K160" s="97"/>
      <c r="BX160" s="29" t="s">
        <v>378</v>
      </c>
    </row>
    <row r="161" spans="1:76" ht="14.4" x14ac:dyDescent="0.3">
      <c r="A161" s="2" t="s">
        <v>380</v>
      </c>
      <c r="B161" s="3" t="s">
        <v>375</v>
      </c>
      <c r="C161" s="89" t="s">
        <v>376</v>
      </c>
      <c r="D161" s="90"/>
      <c r="E161" s="3" t="s">
        <v>83</v>
      </c>
      <c r="F161" s="24">
        <v>5</v>
      </c>
      <c r="G161" s="24">
        <v>0</v>
      </c>
      <c r="H161" s="24">
        <f>ROUND(F161*AO161,2)</f>
        <v>0</v>
      </c>
      <c r="I161" s="24">
        <f>ROUND(F161*AP161,2)</f>
        <v>0</v>
      </c>
      <c r="J161" s="24">
        <f>ROUND(F161*G161,2)</f>
        <v>0</v>
      </c>
      <c r="K161" s="25" t="s">
        <v>56</v>
      </c>
      <c r="Z161" s="24">
        <f>ROUND(IF(AQ161="5",BJ161,0),2)</f>
        <v>0</v>
      </c>
      <c r="AB161" s="24">
        <f>ROUND(IF(AQ161="1",BH161,0),2)</f>
        <v>0</v>
      </c>
      <c r="AC161" s="24">
        <f>ROUND(IF(AQ161="1",BI161,0),2)</f>
        <v>0</v>
      </c>
      <c r="AD161" s="24">
        <f>ROUND(IF(AQ161="7",BH161,0),2)</f>
        <v>0</v>
      </c>
      <c r="AE161" s="24">
        <f>ROUND(IF(AQ161="7",BI161,0),2)</f>
        <v>0</v>
      </c>
      <c r="AF161" s="24">
        <f>ROUND(IF(AQ161="2",BH161,0),2)</f>
        <v>0</v>
      </c>
      <c r="AG161" s="24">
        <f>ROUND(IF(AQ161="2",BI161,0),2)</f>
        <v>0</v>
      </c>
      <c r="AH161" s="24">
        <f>ROUND(IF(AQ161="0",BJ161,0),2)</f>
        <v>0</v>
      </c>
      <c r="AI161" s="10" t="s">
        <v>49</v>
      </c>
      <c r="AJ161" s="24">
        <f>IF(AN161=0,J161,0)</f>
        <v>0</v>
      </c>
      <c r="AK161" s="24">
        <f>IF(AN161=12,J161,0)</f>
        <v>0</v>
      </c>
      <c r="AL161" s="24">
        <f>IF(AN161=21,J161,0)</f>
        <v>0</v>
      </c>
      <c r="AN161" s="24">
        <v>12</v>
      </c>
      <c r="AO161" s="24">
        <f>G161*0</f>
        <v>0</v>
      </c>
      <c r="AP161" s="24">
        <f>G161*(1-0)</f>
        <v>0</v>
      </c>
      <c r="AQ161" s="26" t="s">
        <v>52</v>
      </c>
      <c r="AV161" s="24">
        <f>ROUND(AW161+AX161,2)</f>
        <v>0</v>
      </c>
      <c r="AW161" s="24">
        <f>ROUND(F161*AO161,2)</f>
        <v>0</v>
      </c>
      <c r="AX161" s="24">
        <f>ROUND(F161*AP161,2)</f>
        <v>0</v>
      </c>
      <c r="AY161" s="26" t="s">
        <v>377</v>
      </c>
      <c r="AZ161" s="26" t="s">
        <v>308</v>
      </c>
      <c r="BA161" s="10" t="s">
        <v>59</v>
      </c>
      <c r="BC161" s="24">
        <f>AW161+AX161</f>
        <v>0</v>
      </c>
      <c r="BD161" s="24">
        <f>G161/(100-BE161)*100</f>
        <v>0</v>
      </c>
      <c r="BE161" s="24">
        <v>0</v>
      </c>
      <c r="BF161" s="24">
        <f>161</f>
        <v>161</v>
      </c>
      <c r="BH161" s="24">
        <f>F161*AO161</f>
        <v>0</v>
      </c>
      <c r="BI161" s="24">
        <f>F161*AP161</f>
        <v>0</v>
      </c>
      <c r="BJ161" s="24">
        <f>F161*G161</f>
        <v>0</v>
      </c>
      <c r="BK161" s="24"/>
      <c r="BL161" s="24">
        <v>96</v>
      </c>
      <c r="BW161" s="24">
        <v>12</v>
      </c>
      <c r="BX161" s="4" t="s">
        <v>376</v>
      </c>
    </row>
    <row r="162" spans="1:76" ht="26.4" x14ac:dyDescent="0.3">
      <c r="A162" s="27"/>
      <c r="B162" s="28" t="s">
        <v>63</v>
      </c>
      <c r="C162" s="95" t="s">
        <v>378</v>
      </c>
      <c r="D162" s="96"/>
      <c r="E162" s="96"/>
      <c r="F162" s="96"/>
      <c r="G162" s="96"/>
      <c r="H162" s="96"/>
      <c r="I162" s="96"/>
      <c r="J162" s="96"/>
      <c r="K162" s="97"/>
      <c r="BX162" s="29" t="s">
        <v>378</v>
      </c>
    </row>
    <row r="163" spans="1:76" ht="14.4" x14ac:dyDescent="0.3">
      <c r="A163" s="2" t="s">
        <v>381</v>
      </c>
      <c r="B163" s="3" t="s">
        <v>375</v>
      </c>
      <c r="C163" s="89" t="s">
        <v>376</v>
      </c>
      <c r="D163" s="90"/>
      <c r="E163" s="3" t="s">
        <v>83</v>
      </c>
      <c r="F163" s="24">
        <v>1.2</v>
      </c>
      <c r="G163" s="24">
        <v>0</v>
      </c>
      <c r="H163" s="24">
        <f>ROUND(F163*AO163,2)</f>
        <v>0</v>
      </c>
      <c r="I163" s="24">
        <f>ROUND(F163*AP163,2)</f>
        <v>0</v>
      </c>
      <c r="J163" s="24">
        <f>ROUND(F163*G163,2)</f>
        <v>0</v>
      </c>
      <c r="K163" s="25" t="s">
        <v>56</v>
      </c>
      <c r="Z163" s="24">
        <f>ROUND(IF(AQ163="5",BJ163,0),2)</f>
        <v>0</v>
      </c>
      <c r="AB163" s="24">
        <f>ROUND(IF(AQ163="1",BH163,0),2)</f>
        <v>0</v>
      </c>
      <c r="AC163" s="24">
        <f>ROUND(IF(AQ163="1",BI163,0),2)</f>
        <v>0</v>
      </c>
      <c r="AD163" s="24">
        <f>ROUND(IF(AQ163="7",BH163,0),2)</f>
        <v>0</v>
      </c>
      <c r="AE163" s="24">
        <f>ROUND(IF(AQ163="7",BI163,0),2)</f>
        <v>0</v>
      </c>
      <c r="AF163" s="24">
        <f>ROUND(IF(AQ163="2",BH163,0),2)</f>
        <v>0</v>
      </c>
      <c r="AG163" s="24">
        <f>ROUND(IF(AQ163="2",BI163,0),2)</f>
        <v>0</v>
      </c>
      <c r="AH163" s="24">
        <f>ROUND(IF(AQ163="0",BJ163,0),2)</f>
        <v>0</v>
      </c>
      <c r="AI163" s="10" t="s">
        <v>49</v>
      </c>
      <c r="AJ163" s="24">
        <f>IF(AN163=0,J163,0)</f>
        <v>0</v>
      </c>
      <c r="AK163" s="24">
        <f>IF(AN163=12,J163,0)</f>
        <v>0</v>
      </c>
      <c r="AL163" s="24">
        <f>IF(AN163=21,J163,0)</f>
        <v>0</v>
      </c>
      <c r="AN163" s="24">
        <v>12</v>
      </c>
      <c r="AO163" s="24">
        <f>G163*0</f>
        <v>0</v>
      </c>
      <c r="AP163" s="24">
        <f>G163*(1-0)</f>
        <v>0</v>
      </c>
      <c r="AQ163" s="26" t="s">
        <v>52</v>
      </c>
      <c r="AV163" s="24">
        <f>ROUND(AW163+AX163,2)</f>
        <v>0</v>
      </c>
      <c r="AW163" s="24">
        <f>ROUND(F163*AO163,2)</f>
        <v>0</v>
      </c>
      <c r="AX163" s="24">
        <f>ROUND(F163*AP163,2)</f>
        <v>0</v>
      </c>
      <c r="AY163" s="26" t="s">
        <v>377</v>
      </c>
      <c r="AZ163" s="26" t="s">
        <v>308</v>
      </c>
      <c r="BA163" s="10" t="s">
        <v>59</v>
      </c>
      <c r="BC163" s="24">
        <f>AW163+AX163</f>
        <v>0</v>
      </c>
      <c r="BD163" s="24">
        <f>G163/(100-BE163)*100</f>
        <v>0</v>
      </c>
      <c r="BE163" s="24">
        <v>0</v>
      </c>
      <c r="BF163" s="24">
        <f>163</f>
        <v>163</v>
      </c>
      <c r="BH163" s="24">
        <f>F163*AO163</f>
        <v>0</v>
      </c>
      <c r="BI163" s="24">
        <f>F163*AP163</f>
        <v>0</v>
      </c>
      <c r="BJ163" s="24">
        <f>F163*G163</f>
        <v>0</v>
      </c>
      <c r="BK163" s="24"/>
      <c r="BL163" s="24">
        <v>96</v>
      </c>
      <c r="BW163" s="24">
        <v>12</v>
      </c>
      <c r="BX163" s="4" t="s">
        <v>376</v>
      </c>
    </row>
    <row r="164" spans="1:76" ht="26.4" x14ac:dyDescent="0.3">
      <c r="A164" s="27"/>
      <c r="B164" s="28" t="s">
        <v>63</v>
      </c>
      <c r="C164" s="95" t="s">
        <v>378</v>
      </c>
      <c r="D164" s="96"/>
      <c r="E164" s="96"/>
      <c r="F164" s="96"/>
      <c r="G164" s="96"/>
      <c r="H164" s="96"/>
      <c r="I164" s="96"/>
      <c r="J164" s="96"/>
      <c r="K164" s="97"/>
      <c r="BX164" s="29" t="s">
        <v>378</v>
      </c>
    </row>
    <row r="165" spans="1:76" ht="14.4" x14ac:dyDescent="0.3">
      <c r="A165" s="2" t="s">
        <v>382</v>
      </c>
      <c r="B165" s="3" t="s">
        <v>375</v>
      </c>
      <c r="C165" s="89" t="s">
        <v>376</v>
      </c>
      <c r="D165" s="90"/>
      <c r="E165" s="3" t="s">
        <v>83</v>
      </c>
      <c r="F165" s="24">
        <v>1.3</v>
      </c>
      <c r="G165" s="24">
        <v>0</v>
      </c>
      <c r="H165" s="24">
        <f>ROUND(F165*AO165,2)</f>
        <v>0</v>
      </c>
      <c r="I165" s="24">
        <f>ROUND(F165*AP165,2)</f>
        <v>0</v>
      </c>
      <c r="J165" s="24">
        <f>ROUND(F165*G165,2)</f>
        <v>0</v>
      </c>
      <c r="K165" s="25" t="s">
        <v>56</v>
      </c>
      <c r="Z165" s="24">
        <f>ROUND(IF(AQ165="5",BJ165,0),2)</f>
        <v>0</v>
      </c>
      <c r="AB165" s="24">
        <f>ROUND(IF(AQ165="1",BH165,0),2)</f>
        <v>0</v>
      </c>
      <c r="AC165" s="24">
        <f>ROUND(IF(AQ165="1",BI165,0),2)</f>
        <v>0</v>
      </c>
      <c r="AD165" s="24">
        <f>ROUND(IF(AQ165="7",BH165,0),2)</f>
        <v>0</v>
      </c>
      <c r="AE165" s="24">
        <f>ROUND(IF(AQ165="7",BI165,0),2)</f>
        <v>0</v>
      </c>
      <c r="AF165" s="24">
        <f>ROUND(IF(AQ165="2",BH165,0),2)</f>
        <v>0</v>
      </c>
      <c r="AG165" s="24">
        <f>ROUND(IF(AQ165="2",BI165,0),2)</f>
        <v>0</v>
      </c>
      <c r="AH165" s="24">
        <f>ROUND(IF(AQ165="0",BJ165,0),2)</f>
        <v>0</v>
      </c>
      <c r="AI165" s="10" t="s">
        <v>49</v>
      </c>
      <c r="AJ165" s="24">
        <f>IF(AN165=0,J165,0)</f>
        <v>0</v>
      </c>
      <c r="AK165" s="24">
        <f>IF(AN165=12,J165,0)</f>
        <v>0</v>
      </c>
      <c r="AL165" s="24">
        <f>IF(AN165=21,J165,0)</f>
        <v>0</v>
      </c>
      <c r="AN165" s="24">
        <v>12</v>
      </c>
      <c r="AO165" s="24">
        <f>G165*0</f>
        <v>0</v>
      </c>
      <c r="AP165" s="24">
        <f>G165*(1-0)</f>
        <v>0</v>
      </c>
      <c r="AQ165" s="26" t="s">
        <v>52</v>
      </c>
      <c r="AV165" s="24">
        <f>ROUND(AW165+AX165,2)</f>
        <v>0</v>
      </c>
      <c r="AW165" s="24">
        <f>ROUND(F165*AO165,2)</f>
        <v>0</v>
      </c>
      <c r="AX165" s="24">
        <f>ROUND(F165*AP165,2)</f>
        <v>0</v>
      </c>
      <c r="AY165" s="26" t="s">
        <v>377</v>
      </c>
      <c r="AZ165" s="26" t="s">
        <v>308</v>
      </c>
      <c r="BA165" s="10" t="s">
        <v>59</v>
      </c>
      <c r="BC165" s="24">
        <f>AW165+AX165</f>
        <v>0</v>
      </c>
      <c r="BD165" s="24">
        <f>G165/(100-BE165)*100</f>
        <v>0</v>
      </c>
      <c r="BE165" s="24">
        <v>0</v>
      </c>
      <c r="BF165" s="24">
        <f>165</f>
        <v>165</v>
      </c>
      <c r="BH165" s="24">
        <f>F165*AO165</f>
        <v>0</v>
      </c>
      <c r="BI165" s="24">
        <f>F165*AP165</f>
        <v>0</v>
      </c>
      <c r="BJ165" s="24">
        <f>F165*G165</f>
        <v>0</v>
      </c>
      <c r="BK165" s="24"/>
      <c r="BL165" s="24">
        <v>96</v>
      </c>
      <c r="BW165" s="24">
        <v>12</v>
      </c>
      <c r="BX165" s="4" t="s">
        <v>376</v>
      </c>
    </row>
    <row r="166" spans="1:76" ht="26.4" x14ac:dyDescent="0.3">
      <c r="A166" s="27"/>
      <c r="B166" s="28" t="s">
        <v>63</v>
      </c>
      <c r="C166" s="95" t="s">
        <v>378</v>
      </c>
      <c r="D166" s="96"/>
      <c r="E166" s="96"/>
      <c r="F166" s="96"/>
      <c r="G166" s="96"/>
      <c r="H166" s="96"/>
      <c r="I166" s="96"/>
      <c r="J166" s="96"/>
      <c r="K166" s="97"/>
      <c r="BX166" s="29" t="s">
        <v>378</v>
      </c>
    </row>
    <row r="167" spans="1:76" ht="14.4" x14ac:dyDescent="0.3">
      <c r="A167" s="2" t="s">
        <v>383</v>
      </c>
      <c r="B167" s="3" t="s">
        <v>375</v>
      </c>
      <c r="C167" s="89" t="s">
        <v>376</v>
      </c>
      <c r="D167" s="90"/>
      <c r="E167" s="3" t="s">
        <v>83</v>
      </c>
      <c r="F167" s="24">
        <v>0.6</v>
      </c>
      <c r="G167" s="24">
        <v>0</v>
      </c>
      <c r="H167" s="24">
        <f>ROUND(F167*AO167,2)</f>
        <v>0</v>
      </c>
      <c r="I167" s="24">
        <f>ROUND(F167*AP167,2)</f>
        <v>0</v>
      </c>
      <c r="J167" s="24">
        <f>ROUND(F167*G167,2)</f>
        <v>0</v>
      </c>
      <c r="K167" s="25" t="s">
        <v>56</v>
      </c>
      <c r="Z167" s="24">
        <f>ROUND(IF(AQ167="5",BJ167,0),2)</f>
        <v>0</v>
      </c>
      <c r="AB167" s="24">
        <f>ROUND(IF(AQ167="1",BH167,0),2)</f>
        <v>0</v>
      </c>
      <c r="AC167" s="24">
        <f>ROUND(IF(AQ167="1",BI167,0),2)</f>
        <v>0</v>
      </c>
      <c r="AD167" s="24">
        <f>ROUND(IF(AQ167="7",BH167,0),2)</f>
        <v>0</v>
      </c>
      <c r="AE167" s="24">
        <f>ROUND(IF(AQ167="7",BI167,0),2)</f>
        <v>0</v>
      </c>
      <c r="AF167" s="24">
        <f>ROUND(IF(AQ167="2",BH167,0),2)</f>
        <v>0</v>
      </c>
      <c r="AG167" s="24">
        <f>ROUND(IF(AQ167="2",BI167,0),2)</f>
        <v>0</v>
      </c>
      <c r="AH167" s="24">
        <f>ROUND(IF(AQ167="0",BJ167,0),2)</f>
        <v>0</v>
      </c>
      <c r="AI167" s="10" t="s">
        <v>49</v>
      </c>
      <c r="AJ167" s="24">
        <f>IF(AN167=0,J167,0)</f>
        <v>0</v>
      </c>
      <c r="AK167" s="24">
        <f>IF(AN167=12,J167,0)</f>
        <v>0</v>
      </c>
      <c r="AL167" s="24">
        <f>IF(AN167=21,J167,0)</f>
        <v>0</v>
      </c>
      <c r="AN167" s="24">
        <v>12</v>
      </c>
      <c r="AO167" s="24">
        <f>G167*0</f>
        <v>0</v>
      </c>
      <c r="AP167" s="24">
        <f>G167*(1-0)</f>
        <v>0</v>
      </c>
      <c r="AQ167" s="26" t="s">
        <v>52</v>
      </c>
      <c r="AV167" s="24">
        <f>ROUND(AW167+AX167,2)</f>
        <v>0</v>
      </c>
      <c r="AW167" s="24">
        <f>ROUND(F167*AO167,2)</f>
        <v>0</v>
      </c>
      <c r="AX167" s="24">
        <f>ROUND(F167*AP167,2)</f>
        <v>0</v>
      </c>
      <c r="AY167" s="26" t="s">
        <v>377</v>
      </c>
      <c r="AZ167" s="26" t="s">
        <v>308</v>
      </c>
      <c r="BA167" s="10" t="s">
        <v>59</v>
      </c>
      <c r="BC167" s="24">
        <f>AW167+AX167</f>
        <v>0</v>
      </c>
      <c r="BD167" s="24">
        <f>G167/(100-BE167)*100</f>
        <v>0</v>
      </c>
      <c r="BE167" s="24">
        <v>0</v>
      </c>
      <c r="BF167" s="24">
        <f>167</f>
        <v>167</v>
      </c>
      <c r="BH167" s="24">
        <f>F167*AO167</f>
        <v>0</v>
      </c>
      <c r="BI167" s="24">
        <f>F167*AP167</f>
        <v>0</v>
      </c>
      <c r="BJ167" s="24">
        <f>F167*G167</f>
        <v>0</v>
      </c>
      <c r="BK167" s="24"/>
      <c r="BL167" s="24">
        <v>96</v>
      </c>
      <c r="BW167" s="24">
        <v>12</v>
      </c>
      <c r="BX167" s="4" t="s">
        <v>376</v>
      </c>
    </row>
    <row r="168" spans="1:76" ht="26.4" x14ac:dyDescent="0.3">
      <c r="A168" s="27"/>
      <c r="B168" s="28" t="s">
        <v>63</v>
      </c>
      <c r="C168" s="95" t="s">
        <v>378</v>
      </c>
      <c r="D168" s="96"/>
      <c r="E168" s="96"/>
      <c r="F168" s="96"/>
      <c r="G168" s="96"/>
      <c r="H168" s="96"/>
      <c r="I168" s="96"/>
      <c r="J168" s="96"/>
      <c r="K168" s="97"/>
      <c r="BX168" s="29" t="s">
        <v>378</v>
      </c>
    </row>
    <row r="169" spans="1:76" ht="14.4" x14ac:dyDescent="0.3">
      <c r="A169" s="2" t="s">
        <v>384</v>
      </c>
      <c r="B169" s="3" t="s">
        <v>385</v>
      </c>
      <c r="C169" s="89" t="s">
        <v>386</v>
      </c>
      <c r="D169" s="90"/>
      <c r="E169" s="3" t="s">
        <v>83</v>
      </c>
      <c r="F169" s="24">
        <v>3.75</v>
      </c>
      <c r="G169" s="24">
        <v>0</v>
      </c>
      <c r="H169" s="24">
        <f>ROUND(F169*AO169,2)</f>
        <v>0</v>
      </c>
      <c r="I169" s="24">
        <f>ROUND(F169*AP169,2)</f>
        <v>0</v>
      </c>
      <c r="J169" s="24">
        <f>ROUND(F169*G169,2)</f>
        <v>0</v>
      </c>
      <c r="K169" s="25" t="s">
        <v>56</v>
      </c>
      <c r="Z169" s="24">
        <f>ROUND(IF(AQ169="5",BJ169,0),2)</f>
        <v>0</v>
      </c>
      <c r="AB169" s="24">
        <f>ROUND(IF(AQ169="1",BH169,0),2)</f>
        <v>0</v>
      </c>
      <c r="AC169" s="24">
        <f>ROUND(IF(AQ169="1",BI169,0),2)</f>
        <v>0</v>
      </c>
      <c r="AD169" s="24">
        <f>ROUND(IF(AQ169="7",BH169,0),2)</f>
        <v>0</v>
      </c>
      <c r="AE169" s="24">
        <f>ROUND(IF(AQ169="7",BI169,0),2)</f>
        <v>0</v>
      </c>
      <c r="AF169" s="24">
        <f>ROUND(IF(AQ169="2",BH169,0),2)</f>
        <v>0</v>
      </c>
      <c r="AG169" s="24">
        <f>ROUND(IF(AQ169="2",BI169,0),2)</f>
        <v>0</v>
      </c>
      <c r="AH169" s="24">
        <f>ROUND(IF(AQ169="0",BJ169,0),2)</f>
        <v>0</v>
      </c>
      <c r="AI169" s="10" t="s">
        <v>49</v>
      </c>
      <c r="AJ169" s="24">
        <f>IF(AN169=0,J169,0)</f>
        <v>0</v>
      </c>
      <c r="AK169" s="24">
        <f>IF(AN169=12,J169,0)</f>
        <v>0</v>
      </c>
      <c r="AL169" s="24">
        <f>IF(AN169=21,J169,0)</f>
        <v>0</v>
      </c>
      <c r="AN169" s="24">
        <v>12</v>
      </c>
      <c r="AO169" s="24">
        <f>G169*0</f>
        <v>0</v>
      </c>
      <c r="AP169" s="24">
        <f>G169*(1-0)</f>
        <v>0</v>
      </c>
      <c r="AQ169" s="26" t="s">
        <v>52</v>
      </c>
      <c r="AV169" s="24">
        <f>ROUND(AW169+AX169,2)</f>
        <v>0</v>
      </c>
      <c r="AW169" s="24">
        <f>ROUND(F169*AO169,2)</f>
        <v>0</v>
      </c>
      <c r="AX169" s="24">
        <f>ROUND(F169*AP169,2)</f>
        <v>0</v>
      </c>
      <c r="AY169" s="26" t="s">
        <v>377</v>
      </c>
      <c r="AZ169" s="26" t="s">
        <v>308</v>
      </c>
      <c r="BA169" s="10" t="s">
        <v>59</v>
      </c>
      <c r="BC169" s="24">
        <f>AW169+AX169</f>
        <v>0</v>
      </c>
      <c r="BD169" s="24">
        <f>G169/(100-BE169)*100</f>
        <v>0</v>
      </c>
      <c r="BE169" s="24">
        <v>0</v>
      </c>
      <c r="BF169" s="24">
        <f>169</f>
        <v>169</v>
      </c>
      <c r="BH169" s="24">
        <f>F169*AO169</f>
        <v>0</v>
      </c>
      <c r="BI169" s="24">
        <f>F169*AP169</f>
        <v>0</v>
      </c>
      <c r="BJ169" s="24">
        <f>F169*G169</f>
        <v>0</v>
      </c>
      <c r="BK169" s="24"/>
      <c r="BL169" s="24">
        <v>96</v>
      </c>
      <c r="BW169" s="24">
        <v>12</v>
      </c>
      <c r="BX169" s="4" t="s">
        <v>386</v>
      </c>
    </row>
    <row r="170" spans="1:76" ht="14.4" x14ac:dyDescent="0.3">
      <c r="A170" s="2" t="s">
        <v>387</v>
      </c>
      <c r="B170" s="3" t="s">
        <v>388</v>
      </c>
      <c r="C170" s="89" t="s">
        <v>389</v>
      </c>
      <c r="D170" s="90"/>
      <c r="E170" s="3" t="s">
        <v>96</v>
      </c>
      <c r="F170" s="24">
        <v>2</v>
      </c>
      <c r="G170" s="24">
        <v>0</v>
      </c>
      <c r="H170" s="24">
        <f>ROUND(F170*AO170,2)</f>
        <v>0</v>
      </c>
      <c r="I170" s="24">
        <f>ROUND(F170*AP170,2)</f>
        <v>0</v>
      </c>
      <c r="J170" s="24">
        <f>ROUND(F170*G170,2)</f>
        <v>0</v>
      </c>
      <c r="K170" s="25" t="s">
        <v>56</v>
      </c>
      <c r="Z170" s="24">
        <f>ROUND(IF(AQ170="5",BJ170,0),2)</f>
        <v>0</v>
      </c>
      <c r="AB170" s="24">
        <f>ROUND(IF(AQ170="1",BH170,0),2)</f>
        <v>0</v>
      </c>
      <c r="AC170" s="24">
        <f>ROUND(IF(AQ170="1",BI170,0),2)</f>
        <v>0</v>
      </c>
      <c r="AD170" s="24">
        <f>ROUND(IF(AQ170="7",BH170,0),2)</f>
        <v>0</v>
      </c>
      <c r="AE170" s="24">
        <f>ROUND(IF(AQ170="7",BI170,0),2)</f>
        <v>0</v>
      </c>
      <c r="AF170" s="24">
        <f>ROUND(IF(AQ170="2",BH170,0),2)</f>
        <v>0</v>
      </c>
      <c r="AG170" s="24">
        <f>ROUND(IF(AQ170="2",BI170,0),2)</f>
        <v>0</v>
      </c>
      <c r="AH170" s="24">
        <f>ROUND(IF(AQ170="0",BJ170,0),2)</f>
        <v>0</v>
      </c>
      <c r="AI170" s="10" t="s">
        <v>49</v>
      </c>
      <c r="AJ170" s="24">
        <f>IF(AN170=0,J170,0)</f>
        <v>0</v>
      </c>
      <c r="AK170" s="24">
        <f>IF(AN170=12,J170,0)</f>
        <v>0</v>
      </c>
      <c r="AL170" s="24">
        <f>IF(AN170=21,J170,0)</f>
        <v>0</v>
      </c>
      <c r="AN170" s="24">
        <v>12</v>
      </c>
      <c r="AO170" s="24">
        <f>G170*0</f>
        <v>0</v>
      </c>
      <c r="AP170" s="24">
        <f>G170*(1-0)</f>
        <v>0</v>
      </c>
      <c r="AQ170" s="26" t="s">
        <v>52</v>
      </c>
      <c r="AV170" s="24">
        <f>ROUND(AW170+AX170,2)</f>
        <v>0</v>
      </c>
      <c r="AW170" s="24">
        <f>ROUND(F170*AO170,2)</f>
        <v>0</v>
      </c>
      <c r="AX170" s="24">
        <f>ROUND(F170*AP170,2)</f>
        <v>0</v>
      </c>
      <c r="AY170" s="26" t="s">
        <v>377</v>
      </c>
      <c r="AZ170" s="26" t="s">
        <v>308</v>
      </c>
      <c r="BA170" s="10" t="s">
        <v>59</v>
      </c>
      <c r="BC170" s="24">
        <f>AW170+AX170</f>
        <v>0</v>
      </c>
      <c r="BD170" s="24">
        <f>G170/(100-BE170)*100</f>
        <v>0</v>
      </c>
      <c r="BE170" s="24">
        <v>0</v>
      </c>
      <c r="BF170" s="24">
        <f>170</f>
        <v>170</v>
      </c>
      <c r="BH170" s="24">
        <f>F170*AO170</f>
        <v>0</v>
      </c>
      <c r="BI170" s="24">
        <f>F170*AP170</f>
        <v>0</v>
      </c>
      <c r="BJ170" s="24">
        <f>F170*G170</f>
        <v>0</v>
      </c>
      <c r="BK170" s="24"/>
      <c r="BL170" s="24">
        <v>96</v>
      </c>
      <c r="BW170" s="24">
        <v>12</v>
      </c>
      <c r="BX170" s="4" t="s">
        <v>389</v>
      </c>
    </row>
    <row r="171" spans="1:76" ht="39.6" x14ac:dyDescent="0.3">
      <c r="A171" s="27"/>
      <c r="B171" s="28" t="s">
        <v>63</v>
      </c>
      <c r="C171" s="95" t="s">
        <v>390</v>
      </c>
      <c r="D171" s="96"/>
      <c r="E171" s="96"/>
      <c r="F171" s="96"/>
      <c r="G171" s="96"/>
      <c r="H171" s="96"/>
      <c r="I171" s="96"/>
      <c r="J171" s="96"/>
      <c r="K171" s="97"/>
      <c r="BX171" s="29" t="s">
        <v>390</v>
      </c>
    </row>
    <row r="172" spans="1:76" ht="14.4" x14ac:dyDescent="0.3">
      <c r="A172" s="2" t="s">
        <v>391</v>
      </c>
      <c r="B172" s="3" t="s">
        <v>392</v>
      </c>
      <c r="C172" s="89" t="s">
        <v>393</v>
      </c>
      <c r="D172" s="90"/>
      <c r="E172" s="3" t="s">
        <v>55</v>
      </c>
      <c r="F172" s="24">
        <v>2</v>
      </c>
      <c r="G172" s="24">
        <v>0</v>
      </c>
      <c r="H172" s="24">
        <f>ROUND(F172*AO172,2)</f>
        <v>0</v>
      </c>
      <c r="I172" s="24">
        <f>ROUND(F172*AP172,2)</f>
        <v>0</v>
      </c>
      <c r="J172" s="24">
        <f>ROUND(F172*G172,2)</f>
        <v>0</v>
      </c>
      <c r="K172" s="25" t="s">
        <v>56</v>
      </c>
      <c r="Z172" s="24">
        <f>ROUND(IF(AQ172="5",BJ172,0),2)</f>
        <v>0</v>
      </c>
      <c r="AB172" s="24">
        <f>ROUND(IF(AQ172="1",BH172,0),2)</f>
        <v>0</v>
      </c>
      <c r="AC172" s="24">
        <f>ROUND(IF(AQ172="1",BI172,0),2)</f>
        <v>0</v>
      </c>
      <c r="AD172" s="24">
        <f>ROUND(IF(AQ172="7",BH172,0),2)</f>
        <v>0</v>
      </c>
      <c r="AE172" s="24">
        <f>ROUND(IF(AQ172="7",BI172,0),2)</f>
        <v>0</v>
      </c>
      <c r="AF172" s="24">
        <f>ROUND(IF(AQ172="2",BH172,0),2)</f>
        <v>0</v>
      </c>
      <c r="AG172" s="24">
        <f>ROUND(IF(AQ172="2",BI172,0),2)</f>
        <v>0</v>
      </c>
      <c r="AH172" s="24">
        <f>ROUND(IF(AQ172="0",BJ172,0),2)</f>
        <v>0</v>
      </c>
      <c r="AI172" s="10" t="s">
        <v>49</v>
      </c>
      <c r="AJ172" s="24">
        <f>IF(AN172=0,J172,0)</f>
        <v>0</v>
      </c>
      <c r="AK172" s="24">
        <f>IF(AN172=12,J172,0)</f>
        <v>0</v>
      </c>
      <c r="AL172" s="24">
        <f>IF(AN172=21,J172,0)</f>
        <v>0</v>
      </c>
      <c r="AN172" s="24">
        <v>12</v>
      </c>
      <c r="AO172" s="24">
        <f>G172*0.190571148</f>
        <v>0</v>
      </c>
      <c r="AP172" s="24">
        <f>G172*(1-0.190571148)</f>
        <v>0</v>
      </c>
      <c r="AQ172" s="26" t="s">
        <v>52</v>
      </c>
      <c r="AV172" s="24">
        <f>ROUND(AW172+AX172,2)</f>
        <v>0</v>
      </c>
      <c r="AW172" s="24">
        <f>ROUND(F172*AO172,2)</f>
        <v>0</v>
      </c>
      <c r="AX172" s="24">
        <f>ROUND(F172*AP172,2)</f>
        <v>0</v>
      </c>
      <c r="AY172" s="26" t="s">
        <v>377</v>
      </c>
      <c r="AZ172" s="26" t="s">
        <v>308</v>
      </c>
      <c r="BA172" s="10" t="s">
        <v>59</v>
      </c>
      <c r="BC172" s="24">
        <f>AW172+AX172</f>
        <v>0</v>
      </c>
      <c r="BD172" s="24">
        <f>G172/(100-BE172)*100</f>
        <v>0</v>
      </c>
      <c r="BE172" s="24">
        <v>0</v>
      </c>
      <c r="BF172" s="24">
        <f>172</f>
        <v>172</v>
      </c>
      <c r="BH172" s="24">
        <f>F172*AO172</f>
        <v>0</v>
      </c>
      <c r="BI172" s="24">
        <f>F172*AP172</f>
        <v>0</v>
      </c>
      <c r="BJ172" s="24">
        <f>F172*G172</f>
        <v>0</v>
      </c>
      <c r="BK172" s="24"/>
      <c r="BL172" s="24">
        <v>96</v>
      </c>
      <c r="BW172" s="24">
        <v>12</v>
      </c>
      <c r="BX172" s="4" t="s">
        <v>393</v>
      </c>
    </row>
    <row r="173" spans="1:76" ht="52.8" x14ac:dyDescent="0.3">
      <c r="A173" s="27"/>
      <c r="B173" s="28" t="s">
        <v>63</v>
      </c>
      <c r="C173" s="95" t="s">
        <v>394</v>
      </c>
      <c r="D173" s="96"/>
      <c r="E173" s="96"/>
      <c r="F173" s="96"/>
      <c r="G173" s="96"/>
      <c r="H173" s="96"/>
      <c r="I173" s="96"/>
      <c r="J173" s="96"/>
      <c r="K173" s="97"/>
      <c r="BX173" s="29" t="s">
        <v>394</v>
      </c>
    </row>
    <row r="174" spans="1:76" ht="14.4" x14ac:dyDescent="0.3">
      <c r="A174" s="30" t="s">
        <v>49</v>
      </c>
      <c r="B174" s="31" t="s">
        <v>395</v>
      </c>
      <c r="C174" s="91" t="s">
        <v>396</v>
      </c>
      <c r="D174" s="92"/>
      <c r="E174" s="32" t="s">
        <v>4</v>
      </c>
      <c r="F174" s="32" t="s">
        <v>4</v>
      </c>
      <c r="G174" s="32" t="s">
        <v>4</v>
      </c>
      <c r="H174" s="1">
        <f>SUM(H175:H178)</f>
        <v>0</v>
      </c>
      <c r="I174" s="1">
        <f>SUM(I175:I178)</f>
        <v>0</v>
      </c>
      <c r="J174" s="1">
        <f>SUM(J175:J178)</f>
        <v>0</v>
      </c>
      <c r="K174" s="33" t="s">
        <v>49</v>
      </c>
      <c r="AI174" s="10" t="s">
        <v>49</v>
      </c>
      <c r="AS174" s="1">
        <f>SUM(AJ175:AJ178)</f>
        <v>0</v>
      </c>
      <c r="AT174" s="1">
        <f>SUM(AK175:AK178)</f>
        <v>0</v>
      </c>
      <c r="AU174" s="1">
        <f>SUM(AL175:AL178)</f>
        <v>0</v>
      </c>
    </row>
    <row r="175" spans="1:76" ht="14.4" x14ac:dyDescent="0.3">
      <c r="A175" s="2" t="s">
        <v>397</v>
      </c>
      <c r="B175" s="3" t="s">
        <v>398</v>
      </c>
      <c r="C175" s="89" t="s">
        <v>399</v>
      </c>
      <c r="D175" s="90"/>
      <c r="E175" s="3" t="s">
        <v>400</v>
      </c>
      <c r="F175" s="24">
        <v>23</v>
      </c>
      <c r="G175" s="24">
        <v>0</v>
      </c>
      <c r="H175" s="24">
        <f>ROUND(F175*AO175,2)</f>
        <v>0</v>
      </c>
      <c r="I175" s="24">
        <f>ROUND(F175*AP175,2)</f>
        <v>0</v>
      </c>
      <c r="J175" s="24">
        <f>ROUND(F175*G175,2)</f>
        <v>0</v>
      </c>
      <c r="K175" s="25" t="s">
        <v>56</v>
      </c>
      <c r="Z175" s="24">
        <f>ROUND(IF(AQ175="5",BJ175,0),2)</f>
        <v>0</v>
      </c>
      <c r="AB175" s="24">
        <f>ROUND(IF(AQ175="1",BH175,0),2)</f>
        <v>0</v>
      </c>
      <c r="AC175" s="24">
        <f>ROUND(IF(AQ175="1",BI175,0),2)</f>
        <v>0</v>
      </c>
      <c r="AD175" s="24">
        <f>ROUND(IF(AQ175="7",BH175,0),2)</f>
        <v>0</v>
      </c>
      <c r="AE175" s="24">
        <f>ROUND(IF(AQ175="7",BI175,0),2)</f>
        <v>0</v>
      </c>
      <c r="AF175" s="24">
        <f>ROUND(IF(AQ175="2",BH175,0),2)</f>
        <v>0</v>
      </c>
      <c r="AG175" s="24">
        <f>ROUND(IF(AQ175="2",BI175,0),2)</f>
        <v>0</v>
      </c>
      <c r="AH175" s="24">
        <f>ROUND(IF(AQ175="0",BJ175,0),2)</f>
        <v>0</v>
      </c>
      <c r="AI175" s="10" t="s">
        <v>49</v>
      </c>
      <c r="AJ175" s="24">
        <f>IF(AN175=0,J175,0)</f>
        <v>0</v>
      </c>
      <c r="AK175" s="24">
        <f>IF(AN175=12,J175,0)</f>
        <v>0</v>
      </c>
      <c r="AL175" s="24">
        <f>IF(AN175=21,J175,0)</f>
        <v>0</v>
      </c>
      <c r="AN175" s="24">
        <v>12</v>
      </c>
      <c r="AO175" s="24">
        <f>G175*0</f>
        <v>0</v>
      </c>
      <c r="AP175" s="24">
        <f>G175*(1-0)</f>
        <v>0</v>
      </c>
      <c r="AQ175" s="26" t="s">
        <v>80</v>
      </c>
      <c r="AV175" s="24">
        <f>ROUND(AW175+AX175,2)</f>
        <v>0</v>
      </c>
      <c r="AW175" s="24">
        <f>ROUND(F175*AO175,2)</f>
        <v>0</v>
      </c>
      <c r="AX175" s="24">
        <f>ROUND(F175*AP175,2)</f>
        <v>0</v>
      </c>
      <c r="AY175" s="26" t="s">
        <v>401</v>
      </c>
      <c r="AZ175" s="26" t="s">
        <v>308</v>
      </c>
      <c r="BA175" s="10" t="s">
        <v>59</v>
      </c>
      <c r="BC175" s="24">
        <f>AW175+AX175</f>
        <v>0</v>
      </c>
      <c r="BD175" s="24">
        <f>G175/(100-BE175)*100</f>
        <v>0</v>
      </c>
      <c r="BE175" s="24">
        <v>0</v>
      </c>
      <c r="BF175" s="24">
        <f>175</f>
        <v>175</v>
      </c>
      <c r="BH175" s="24">
        <f>F175*AO175</f>
        <v>0</v>
      </c>
      <c r="BI175" s="24">
        <f>F175*AP175</f>
        <v>0</v>
      </c>
      <c r="BJ175" s="24">
        <f>F175*G175</f>
        <v>0</v>
      </c>
      <c r="BK175" s="24"/>
      <c r="BL175" s="24"/>
      <c r="BW175" s="24">
        <v>12</v>
      </c>
      <c r="BX175" s="4" t="s">
        <v>399</v>
      </c>
    </row>
    <row r="176" spans="1:76" ht="14.4" x14ac:dyDescent="0.3">
      <c r="A176" s="2" t="s">
        <v>402</v>
      </c>
      <c r="B176" s="3" t="s">
        <v>403</v>
      </c>
      <c r="C176" s="89" t="s">
        <v>404</v>
      </c>
      <c r="D176" s="90"/>
      <c r="E176" s="3" t="s">
        <v>400</v>
      </c>
      <c r="F176" s="24">
        <v>23</v>
      </c>
      <c r="G176" s="24">
        <v>0</v>
      </c>
      <c r="H176" s="24">
        <f>ROUND(F176*AO176,2)</f>
        <v>0</v>
      </c>
      <c r="I176" s="24">
        <f>ROUND(F176*AP176,2)</f>
        <v>0</v>
      </c>
      <c r="J176" s="24">
        <f>ROUND(F176*G176,2)</f>
        <v>0</v>
      </c>
      <c r="K176" s="25" t="s">
        <v>56</v>
      </c>
      <c r="Z176" s="24">
        <f>ROUND(IF(AQ176="5",BJ176,0),2)</f>
        <v>0</v>
      </c>
      <c r="AB176" s="24">
        <f>ROUND(IF(AQ176="1",BH176,0),2)</f>
        <v>0</v>
      </c>
      <c r="AC176" s="24">
        <f>ROUND(IF(AQ176="1",BI176,0),2)</f>
        <v>0</v>
      </c>
      <c r="AD176" s="24">
        <f>ROUND(IF(AQ176="7",BH176,0),2)</f>
        <v>0</v>
      </c>
      <c r="AE176" s="24">
        <f>ROUND(IF(AQ176="7",BI176,0),2)</f>
        <v>0</v>
      </c>
      <c r="AF176" s="24">
        <f>ROUND(IF(AQ176="2",BH176,0),2)</f>
        <v>0</v>
      </c>
      <c r="AG176" s="24">
        <f>ROUND(IF(AQ176="2",BI176,0),2)</f>
        <v>0</v>
      </c>
      <c r="AH176" s="24">
        <f>ROUND(IF(AQ176="0",BJ176,0),2)</f>
        <v>0</v>
      </c>
      <c r="AI176" s="10" t="s">
        <v>49</v>
      </c>
      <c r="AJ176" s="24">
        <f>IF(AN176=0,J176,0)</f>
        <v>0</v>
      </c>
      <c r="AK176" s="24">
        <f>IF(AN176=12,J176,0)</f>
        <v>0</v>
      </c>
      <c r="AL176" s="24">
        <f>IF(AN176=21,J176,0)</f>
        <v>0</v>
      </c>
      <c r="AN176" s="24">
        <v>12</v>
      </c>
      <c r="AO176" s="24">
        <f>G176*0</f>
        <v>0</v>
      </c>
      <c r="AP176" s="24">
        <f>G176*(1-0)</f>
        <v>0</v>
      </c>
      <c r="AQ176" s="26" t="s">
        <v>80</v>
      </c>
      <c r="AV176" s="24">
        <f>ROUND(AW176+AX176,2)</f>
        <v>0</v>
      </c>
      <c r="AW176" s="24">
        <f>ROUND(F176*AO176,2)</f>
        <v>0</v>
      </c>
      <c r="AX176" s="24">
        <f>ROUND(F176*AP176,2)</f>
        <v>0</v>
      </c>
      <c r="AY176" s="26" t="s">
        <v>401</v>
      </c>
      <c r="AZ176" s="26" t="s">
        <v>308</v>
      </c>
      <c r="BA176" s="10" t="s">
        <v>59</v>
      </c>
      <c r="BC176" s="24">
        <f>AW176+AX176</f>
        <v>0</v>
      </c>
      <c r="BD176" s="24">
        <f>G176/(100-BE176)*100</f>
        <v>0</v>
      </c>
      <c r="BE176" s="24">
        <v>0</v>
      </c>
      <c r="BF176" s="24">
        <f>176</f>
        <v>176</v>
      </c>
      <c r="BH176" s="24">
        <f>F176*AO176</f>
        <v>0</v>
      </c>
      <c r="BI176" s="24">
        <f>F176*AP176</f>
        <v>0</v>
      </c>
      <c r="BJ176" s="24">
        <f>F176*G176</f>
        <v>0</v>
      </c>
      <c r="BK176" s="24"/>
      <c r="BL176" s="24"/>
      <c r="BW176" s="24">
        <v>12</v>
      </c>
      <c r="BX176" s="4" t="s">
        <v>404</v>
      </c>
    </row>
    <row r="177" spans="1:76" ht="14.4" x14ac:dyDescent="0.3">
      <c r="A177" s="27"/>
      <c r="B177" s="28" t="s">
        <v>63</v>
      </c>
      <c r="C177" s="95" t="s">
        <v>405</v>
      </c>
      <c r="D177" s="96"/>
      <c r="E177" s="96"/>
      <c r="F177" s="96"/>
      <c r="G177" s="96"/>
      <c r="H177" s="96"/>
      <c r="I177" s="96"/>
      <c r="J177" s="96"/>
      <c r="K177" s="97"/>
      <c r="BX177" s="29" t="s">
        <v>405</v>
      </c>
    </row>
    <row r="178" spans="1:76" ht="14.4" x14ac:dyDescent="0.3">
      <c r="A178" s="2" t="s">
        <v>406</v>
      </c>
      <c r="B178" s="3" t="s">
        <v>407</v>
      </c>
      <c r="C178" s="89" t="s">
        <v>408</v>
      </c>
      <c r="D178" s="90"/>
      <c r="E178" s="3" t="s">
        <v>400</v>
      </c>
      <c r="F178" s="24">
        <v>23</v>
      </c>
      <c r="G178" s="24">
        <v>0</v>
      </c>
      <c r="H178" s="24">
        <f>ROUND(F178*AO178,2)</f>
        <v>0</v>
      </c>
      <c r="I178" s="24">
        <f>ROUND(F178*AP178,2)</f>
        <v>0</v>
      </c>
      <c r="J178" s="24">
        <f>ROUND(F178*G178,2)</f>
        <v>0</v>
      </c>
      <c r="K178" s="25" t="s">
        <v>56</v>
      </c>
      <c r="Z178" s="24">
        <f>ROUND(IF(AQ178="5",BJ178,0),2)</f>
        <v>0</v>
      </c>
      <c r="AB178" s="24">
        <f>ROUND(IF(AQ178="1",BH178,0),2)</f>
        <v>0</v>
      </c>
      <c r="AC178" s="24">
        <f>ROUND(IF(AQ178="1",BI178,0),2)</f>
        <v>0</v>
      </c>
      <c r="AD178" s="24">
        <f>ROUND(IF(AQ178="7",BH178,0),2)</f>
        <v>0</v>
      </c>
      <c r="AE178" s="24">
        <f>ROUND(IF(AQ178="7",BI178,0),2)</f>
        <v>0</v>
      </c>
      <c r="AF178" s="24">
        <f>ROUND(IF(AQ178="2",BH178,0),2)</f>
        <v>0</v>
      </c>
      <c r="AG178" s="24">
        <f>ROUND(IF(AQ178="2",BI178,0),2)</f>
        <v>0</v>
      </c>
      <c r="AH178" s="24">
        <f>ROUND(IF(AQ178="0",BJ178,0),2)</f>
        <v>0</v>
      </c>
      <c r="AI178" s="10" t="s">
        <v>49</v>
      </c>
      <c r="AJ178" s="24">
        <f>IF(AN178=0,J178,0)</f>
        <v>0</v>
      </c>
      <c r="AK178" s="24">
        <f>IF(AN178=12,J178,0)</f>
        <v>0</v>
      </c>
      <c r="AL178" s="24">
        <f>IF(AN178=21,J178,0)</f>
        <v>0</v>
      </c>
      <c r="AN178" s="24">
        <v>12</v>
      </c>
      <c r="AO178" s="24">
        <f>G178*0</f>
        <v>0</v>
      </c>
      <c r="AP178" s="24">
        <f>G178*(1-0)</f>
        <v>0</v>
      </c>
      <c r="AQ178" s="26" t="s">
        <v>80</v>
      </c>
      <c r="AV178" s="24">
        <f>ROUND(AW178+AX178,2)</f>
        <v>0</v>
      </c>
      <c r="AW178" s="24">
        <f>ROUND(F178*AO178,2)</f>
        <v>0</v>
      </c>
      <c r="AX178" s="24">
        <f>ROUND(F178*AP178,2)</f>
        <v>0</v>
      </c>
      <c r="AY178" s="26" t="s">
        <v>401</v>
      </c>
      <c r="AZ178" s="26" t="s">
        <v>308</v>
      </c>
      <c r="BA178" s="10" t="s">
        <v>59</v>
      </c>
      <c r="BC178" s="24">
        <f>AW178+AX178</f>
        <v>0</v>
      </c>
      <c r="BD178" s="24">
        <f>G178/(100-BE178)*100</f>
        <v>0</v>
      </c>
      <c r="BE178" s="24">
        <v>0</v>
      </c>
      <c r="BF178" s="24">
        <f>178</f>
        <v>178</v>
      </c>
      <c r="BH178" s="24">
        <f>F178*AO178</f>
        <v>0</v>
      </c>
      <c r="BI178" s="24">
        <f>F178*AP178</f>
        <v>0</v>
      </c>
      <c r="BJ178" s="24">
        <f>F178*G178</f>
        <v>0</v>
      </c>
      <c r="BK178" s="24"/>
      <c r="BL178" s="24"/>
      <c r="BW178" s="24">
        <v>12</v>
      </c>
      <c r="BX178" s="4" t="s">
        <v>408</v>
      </c>
    </row>
    <row r="179" spans="1:76" ht="14.4" x14ac:dyDescent="0.3">
      <c r="A179" s="27"/>
      <c r="B179" s="28" t="s">
        <v>63</v>
      </c>
      <c r="C179" s="95" t="s">
        <v>405</v>
      </c>
      <c r="D179" s="96"/>
      <c r="E179" s="96"/>
      <c r="F179" s="96"/>
      <c r="G179" s="96"/>
      <c r="H179" s="96"/>
      <c r="I179" s="96"/>
      <c r="J179" s="96"/>
      <c r="K179" s="97"/>
      <c r="BX179" s="29" t="s">
        <v>405</v>
      </c>
    </row>
    <row r="180" spans="1:76" ht="14.4" x14ac:dyDescent="0.3">
      <c r="A180" s="30" t="s">
        <v>49</v>
      </c>
      <c r="B180" s="31" t="s">
        <v>409</v>
      </c>
      <c r="C180" s="91" t="s">
        <v>203</v>
      </c>
      <c r="D180" s="92"/>
      <c r="E180" s="32" t="s">
        <v>4</v>
      </c>
      <c r="F180" s="32" t="s">
        <v>4</v>
      </c>
      <c r="G180" s="32" t="s">
        <v>4</v>
      </c>
      <c r="H180" s="1">
        <f>SUM(H181:H181)</f>
        <v>0</v>
      </c>
      <c r="I180" s="1">
        <f>SUM(I181:I181)</f>
        <v>0</v>
      </c>
      <c r="J180" s="1">
        <f>SUM(J181:J181)</f>
        <v>0</v>
      </c>
      <c r="K180" s="33" t="s">
        <v>49</v>
      </c>
      <c r="AI180" s="10" t="s">
        <v>49</v>
      </c>
      <c r="AS180" s="1">
        <f>SUM(AJ181:AJ181)</f>
        <v>0</v>
      </c>
      <c r="AT180" s="1">
        <f>SUM(AK181:AK181)</f>
        <v>0</v>
      </c>
      <c r="AU180" s="1">
        <f>SUM(AL181:AL181)</f>
        <v>0</v>
      </c>
    </row>
    <row r="181" spans="1:76" ht="14.4" x14ac:dyDescent="0.3">
      <c r="A181" s="2" t="s">
        <v>410</v>
      </c>
      <c r="B181" s="3" t="s">
        <v>411</v>
      </c>
      <c r="C181" s="89" t="s">
        <v>412</v>
      </c>
      <c r="D181" s="90"/>
      <c r="E181" s="3" t="s">
        <v>400</v>
      </c>
      <c r="F181" s="24">
        <v>13</v>
      </c>
      <c r="G181" s="24">
        <v>0</v>
      </c>
      <c r="H181" s="24">
        <f>ROUND(F181*AO181,2)</f>
        <v>0</v>
      </c>
      <c r="I181" s="24">
        <f>ROUND(F181*AP181,2)</f>
        <v>0</v>
      </c>
      <c r="J181" s="24">
        <f>ROUND(F181*G181,2)</f>
        <v>0</v>
      </c>
      <c r="K181" s="25" t="s">
        <v>56</v>
      </c>
      <c r="Z181" s="24">
        <f>ROUND(IF(AQ181="5",BJ181,0),2)</f>
        <v>0</v>
      </c>
      <c r="AB181" s="24">
        <f>ROUND(IF(AQ181="1",BH181,0),2)</f>
        <v>0</v>
      </c>
      <c r="AC181" s="24">
        <f>ROUND(IF(AQ181="1",BI181,0),2)</f>
        <v>0</v>
      </c>
      <c r="AD181" s="24">
        <f>ROUND(IF(AQ181="7",BH181,0),2)</f>
        <v>0</v>
      </c>
      <c r="AE181" s="24">
        <f>ROUND(IF(AQ181="7",BI181,0),2)</f>
        <v>0</v>
      </c>
      <c r="AF181" s="24">
        <f>ROUND(IF(AQ181="2",BH181,0),2)</f>
        <v>0</v>
      </c>
      <c r="AG181" s="24">
        <f>ROUND(IF(AQ181="2",BI181,0),2)</f>
        <v>0</v>
      </c>
      <c r="AH181" s="24">
        <f>ROUND(IF(AQ181="0",BJ181,0),2)</f>
        <v>0</v>
      </c>
      <c r="AI181" s="10" t="s">
        <v>49</v>
      </c>
      <c r="AJ181" s="24">
        <f>IF(AN181=0,J181,0)</f>
        <v>0</v>
      </c>
      <c r="AK181" s="24">
        <f>IF(AN181=12,J181,0)</f>
        <v>0</v>
      </c>
      <c r="AL181" s="24">
        <f>IF(AN181=21,J181,0)</f>
        <v>0</v>
      </c>
      <c r="AN181" s="24">
        <v>12</v>
      </c>
      <c r="AO181" s="24">
        <f>G181*0</f>
        <v>0</v>
      </c>
      <c r="AP181" s="24">
        <f>G181*(1-0)</f>
        <v>0</v>
      </c>
      <c r="AQ181" s="26" t="s">
        <v>80</v>
      </c>
      <c r="AV181" s="24">
        <f>ROUND(AW181+AX181,2)</f>
        <v>0</v>
      </c>
      <c r="AW181" s="24">
        <f>ROUND(F181*AO181,2)</f>
        <v>0</v>
      </c>
      <c r="AX181" s="24">
        <f>ROUND(F181*AP181,2)</f>
        <v>0</v>
      </c>
      <c r="AY181" s="26" t="s">
        <v>413</v>
      </c>
      <c r="AZ181" s="26" t="s">
        <v>308</v>
      </c>
      <c r="BA181" s="10" t="s">
        <v>59</v>
      </c>
      <c r="BC181" s="24">
        <f>AW181+AX181</f>
        <v>0</v>
      </c>
      <c r="BD181" s="24">
        <f>G181/(100-BE181)*100</f>
        <v>0</v>
      </c>
      <c r="BE181" s="24">
        <v>0</v>
      </c>
      <c r="BF181" s="24">
        <f>181</f>
        <v>181</v>
      </c>
      <c r="BH181" s="24">
        <f>F181*AO181</f>
        <v>0</v>
      </c>
      <c r="BI181" s="24">
        <f>F181*AP181</f>
        <v>0</v>
      </c>
      <c r="BJ181" s="24">
        <f>F181*G181</f>
        <v>0</v>
      </c>
      <c r="BK181" s="24"/>
      <c r="BL181" s="24"/>
      <c r="BW181" s="24">
        <v>12</v>
      </c>
      <c r="BX181" s="4" t="s">
        <v>412</v>
      </c>
    </row>
    <row r="182" spans="1:76" ht="14.4" x14ac:dyDescent="0.3">
      <c r="A182" s="30" t="s">
        <v>49</v>
      </c>
      <c r="B182" s="31" t="s">
        <v>414</v>
      </c>
      <c r="C182" s="91" t="s">
        <v>415</v>
      </c>
      <c r="D182" s="92"/>
      <c r="E182" s="32" t="s">
        <v>4</v>
      </c>
      <c r="F182" s="32" t="s">
        <v>4</v>
      </c>
      <c r="G182" s="32" t="s">
        <v>4</v>
      </c>
      <c r="H182" s="1">
        <f>SUM(H183:H183)</f>
        <v>0</v>
      </c>
      <c r="I182" s="1">
        <f>SUM(I183:I183)</f>
        <v>0</v>
      </c>
      <c r="J182" s="1">
        <f>SUM(J183:J183)</f>
        <v>0</v>
      </c>
      <c r="K182" s="33" t="s">
        <v>49</v>
      </c>
      <c r="AI182" s="10" t="s">
        <v>49</v>
      </c>
      <c r="AS182" s="1">
        <f>SUM(AJ183:AJ183)</f>
        <v>0</v>
      </c>
      <c r="AT182" s="1">
        <f>SUM(AK183:AK183)</f>
        <v>0</v>
      </c>
      <c r="AU182" s="1">
        <f>SUM(AL183:AL183)</f>
        <v>0</v>
      </c>
    </row>
    <row r="183" spans="1:76" ht="14.4" x14ac:dyDescent="0.3">
      <c r="A183" s="2" t="s">
        <v>416</v>
      </c>
      <c r="B183" s="3" t="s">
        <v>417</v>
      </c>
      <c r="C183" s="89" t="s">
        <v>418</v>
      </c>
      <c r="D183" s="90"/>
      <c r="E183" s="3" t="s">
        <v>96</v>
      </c>
      <c r="F183" s="24">
        <v>1</v>
      </c>
      <c r="G183" s="24">
        <v>0</v>
      </c>
      <c r="H183" s="24">
        <f>ROUND(F183*AO183,2)</f>
        <v>0</v>
      </c>
      <c r="I183" s="24">
        <f>ROUND(F183*AP183,2)</f>
        <v>0</v>
      </c>
      <c r="J183" s="24">
        <f>ROUND(F183*G183,2)</f>
        <v>0</v>
      </c>
      <c r="K183" s="25" t="s">
        <v>56</v>
      </c>
      <c r="Z183" s="24">
        <f>ROUND(IF(AQ183="5",BJ183,0),2)</f>
        <v>0</v>
      </c>
      <c r="AB183" s="24">
        <f>ROUND(IF(AQ183="1",BH183,0),2)</f>
        <v>0</v>
      </c>
      <c r="AC183" s="24">
        <f>ROUND(IF(AQ183="1",BI183,0),2)</f>
        <v>0</v>
      </c>
      <c r="AD183" s="24">
        <f>ROUND(IF(AQ183="7",BH183,0),2)</f>
        <v>0</v>
      </c>
      <c r="AE183" s="24">
        <f>ROUND(IF(AQ183="7",BI183,0),2)</f>
        <v>0</v>
      </c>
      <c r="AF183" s="24">
        <f>ROUND(IF(AQ183="2",BH183,0),2)</f>
        <v>0</v>
      </c>
      <c r="AG183" s="24">
        <f>ROUND(IF(AQ183="2",BI183,0),2)</f>
        <v>0</v>
      </c>
      <c r="AH183" s="24">
        <f>ROUND(IF(AQ183="0",BJ183,0),2)</f>
        <v>0</v>
      </c>
      <c r="AI183" s="10" t="s">
        <v>49</v>
      </c>
      <c r="AJ183" s="24">
        <f>IF(AN183=0,J183,0)</f>
        <v>0</v>
      </c>
      <c r="AK183" s="24">
        <f>IF(AN183=12,J183,0)</f>
        <v>0</v>
      </c>
      <c r="AL183" s="24">
        <f>IF(AN183=21,J183,0)</f>
        <v>0</v>
      </c>
      <c r="AN183" s="24">
        <v>12</v>
      </c>
      <c r="AO183" s="24">
        <f>G183*0.351828629</f>
        <v>0</v>
      </c>
      <c r="AP183" s="24">
        <f>G183*(1-0.351828629)</f>
        <v>0</v>
      </c>
      <c r="AQ183" s="26" t="s">
        <v>60</v>
      </c>
      <c r="AV183" s="24">
        <f>ROUND(AW183+AX183,2)</f>
        <v>0</v>
      </c>
      <c r="AW183" s="24">
        <f>ROUND(F183*AO183,2)</f>
        <v>0</v>
      </c>
      <c r="AX183" s="24">
        <f>ROUND(F183*AP183,2)</f>
        <v>0</v>
      </c>
      <c r="AY183" s="26" t="s">
        <v>419</v>
      </c>
      <c r="AZ183" s="26" t="s">
        <v>308</v>
      </c>
      <c r="BA183" s="10" t="s">
        <v>59</v>
      </c>
      <c r="BC183" s="24">
        <f>AW183+AX183</f>
        <v>0</v>
      </c>
      <c r="BD183" s="24">
        <f>G183/(100-BE183)*100</f>
        <v>0</v>
      </c>
      <c r="BE183" s="24">
        <v>0</v>
      </c>
      <c r="BF183" s="24">
        <f>183</f>
        <v>183</v>
      </c>
      <c r="BH183" s="24">
        <f>F183*AO183</f>
        <v>0</v>
      </c>
      <c r="BI183" s="24">
        <f>F183*AP183</f>
        <v>0</v>
      </c>
      <c r="BJ183" s="24">
        <f>F183*G183</f>
        <v>0</v>
      </c>
      <c r="BK183" s="24"/>
      <c r="BL183" s="24"/>
      <c r="BW183" s="24">
        <v>12</v>
      </c>
      <c r="BX183" s="4" t="s">
        <v>418</v>
      </c>
    </row>
    <row r="184" spans="1:76" ht="14.4" x14ac:dyDescent="0.3">
      <c r="A184" s="30" t="s">
        <v>49</v>
      </c>
      <c r="B184" s="31" t="s">
        <v>420</v>
      </c>
      <c r="C184" s="91" t="s">
        <v>421</v>
      </c>
      <c r="D184" s="92"/>
      <c r="E184" s="32" t="s">
        <v>4</v>
      </c>
      <c r="F184" s="32" t="s">
        <v>4</v>
      </c>
      <c r="G184" s="32" t="s">
        <v>4</v>
      </c>
      <c r="H184" s="1">
        <f>SUM(H185:H192)</f>
        <v>0</v>
      </c>
      <c r="I184" s="1">
        <f>SUM(I185:I192)</f>
        <v>0</v>
      </c>
      <c r="J184" s="1">
        <f>SUM(J185:J192)</f>
        <v>0</v>
      </c>
      <c r="K184" s="33" t="s">
        <v>49</v>
      </c>
      <c r="AI184" s="10" t="s">
        <v>49</v>
      </c>
      <c r="AS184" s="1">
        <f>SUM(AJ185:AJ192)</f>
        <v>0</v>
      </c>
      <c r="AT184" s="1">
        <f>SUM(AK185:AK192)</f>
        <v>0</v>
      </c>
      <c r="AU184" s="1">
        <f>SUM(AL185:AL192)</f>
        <v>0</v>
      </c>
    </row>
    <row r="185" spans="1:76" ht="14.4" x14ac:dyDescent="0.3">
      <c r="A185" s="2" t="s">
        <v>303</v>
      </c>
      <c r="B185" s="3" t="s">
        <v>422</v>
      </c>
      <c r="C185" s="89" t="s">
        <v>423</v>
      </c>
      <c r="D185" s="90"/>
      <c r="E185" s="3" t="s">
        <v>96</v>
      </c>
      <c r="F185" s="24">
        <v>3</v>
      </c>
      <c r="G185" s="24">
        <v>0</v>
      </c>
      <c r="H185" s="24">
        <f>ROUND(F185*AO185,2)</f>
        <v>0</v>
      </c>
      <c r="I185" s="24">
        <f>ROUND(F185*AP185,2)</f>
        <v>0</v>
      </c>
      <c r="J185" s="24">
        <f>ROUND(F185*G185,2)</f>
        <v>0</v>
      </c>
      <c r="K185" s="25" t="s">
        <v>56</v>
      </c>
      <c r="Z185" s="24">
        <f>ROUND(IF(AQ185="5",BJ185,0),2)</f>
        <v>0</v>
      </c>
      <c r="AB185" s="24">
        <f>ROUND(IF(AQ185="1",BH185,0),2)</f>
        <v>0</v>
      </c>
      <c r="AC185" s="24">
        <f>ROUND(IF(AQ185="1",BI185,0),2)</f>
        <v>0</v>
      </c>
      <c r="AD185" s="24">
        <f>ROUND(IF(AQ185="7",BH185,0),2)</f>
        <v>0</v>
      </c>
      <c r="AE185" s="24">
        <f>ROUND(IF(AQ185="7",BI185,0),2)</f>
        <v>0</v>
      </c>
      <c r="AF185" s="24">
        <f>ROUND(IF(AQ185="2",BH185,0),2)</f>
        <v>0</v>
      </c>
      <c r="AG185" s="24">
        <f>ROUND(IF(AQ185="2",BI185,0),2)</f>
        <v>0</v>
      </c>
      <c r="AH185" s="24">
        <f>ROUND(IF(AQ185="0",BJ185,0),2)</f>
        <v>0</v>
      </c>
      <c r="AI185" s="10" t="s">
        <v>49</v>
      </c>
      <c r="AJ185" s="24">
        <f>IF(AN185=0,J185,0)</f>
        <v>0</v>
      </c>
      <c r="AK185" s="24">
        <f>IF(AN185=12,J185,0)</f>
        <v>0</v>
      </c>
      <c r="AL185" s="24">
        <f>IF(AN185=21,J185,0)</f>
        <v>0</v>
      </c>
      <c r="AN185" s="24">
        <v>12</v>
      </c>
      <c r="AO185" s="24">
        <f>G185*0</f>
        <v>0</v>
      </c>
      <c r="AP185" s="24">
        <f>G185*(1-0)</f>
        <v>0</v>
      </c>
      <c r="AQ185" s="26" t="s">
        <v>60</v>
      </c>
      <c r="AV185" s="24">
        <f>ROUND(AW185+AX185,2)</f>
        <v>0</v>
      </c>
      <c r="AW185" s="24">
        <f>ROUND(F185*AO185,2)</f>
        <v>0</v>
      </c>
      <c r="AX185" s="24">
        <f>ROUND(F185*AP185,2)</f>
        <v>0</v>
      </c>
      <c r="AY185" s="26" t="s">
        <v>424</v>
      </c>
      <c r="AZ185" s="26" t="s">
        <v>308</v>
      </c>
      <c r="BA185" s="10" t="s">
        <v>59</v>
      </c>
      <c r="BC185" s="24">
        <f>AW185+AX185</f>
        <v>0</v>
      </c>
      <c r="BD185" s="24">
        <f>G185/(100-BE185)*100</f>
        <v>0</v>
      </c>
      <c r="BE185" s="24">
        <v>0</v>
      </c>
      <c r="BF185" s="24">
        <f>185</f>
        <v>185</v>
      </c>
      <c r="BH185" s="24">
        <f>F185*AO185</f>
        <v>0</v>
      </c>
      <c r="BI185" s="24">
        <f>F185*AP185</f>
        <v>0</v>
      </c>
      <c r="BJ185" s="24">
        <f>F185*G185</f>
        <v>0</v>
      </c>
      <c r="BK185" s="24"/>
      <c r="BL185" s="24"/>
      <c r="BW185" s="24">
        <v>12</v>
      </c>
      <c r="BX185" s="4" t="s">
        <v>423</v>
      </c>
    </row>
    <row r="186" spans="1:76" ht="14.4" x14ac:dyDescent="0.3">
      <c r="A186" s="27"/>
      <c r="B186" s="28" t="s">
        <v>63</v>
      </c>
      <c r="C186" s="95" t="s">
        <v>425</v>
      </c>
      <c r="D186" s="96"/>
      <c r="E186" s="96"/>
      <c r="F186" s="96"/>
      <c r="G186" s="96"/>
      <c r="H186" s="96"/>
      <c r="I186" s="96"/>
      <c r="J186" s="96"/>
      <c r="K186" s="97"/>
      <c r="BX186" s="29" t="s">
        <v>425</v>
      </c>
    </row>
    <row r="187" spans="1:76" ht="14.4" x14ac:dyDescent="0.3">
      <c r="A187" s="2" t="s">
        <v>426</v>
      </c>
      <c r="B187" s="3" t="s">
        <v>427</v>
      </c>
      <c r="C187" s="89" t="s">
        <v>428</v>
      </c>
      <c r="D187" s="90"/>
      <c r="E187" s="3" t="s">
        <v>96</v>
      </c>
      <c r="F187" s="24">
        <v>1</v>
      </c>
      <c r="G187" s="24">
        <v>0</v>
      </c>
      <c r="H187" s="24">
        <f>ROUND(F187*AO187,2)</f>
        <v>0</v>
      </c>
      <c r="I187" s="24">
        <f>ROUND(F187*AP187,2)</f>
        <v>0</v>
      </c>
      <c r="J187" s="24">
        <f>ROUND(F187*G187,2)</f>
        <v>0</v>
      </c>
      <c r="K187" s="25" t="s">
        <v>56</v>
      </c>
      <c r="Z187" s="24">
        <f>ROUND(IF(AQ187="5",BJ187,0),2)</f>
        <v>0</v>
      </c>
      <c r="AB187" s="24">
        <f>ROUND(IF(AQ187="1",BH187,0),2)</f>
        <v>0</v>
      </c>
      <c r="AC187" s="24">
        <f>ROUND(IF(AQ187="1",BI187,0),2)</f>
        <v>0</v>
      </c>
      <c r="AD187" s="24">
        <f>ROUND(IF(AQ187="7",BH187,0),2)</f>
        <v>0</v>
      </c>
      <c r="AE187" s="24">
        <f>ROUND(IF(AQ187="7",BI187,0),2)</f>
        <v>0</v>
      </c>
      <c r="AF187" s="24">
        <f>ROUND(IF(AQ187="2",BH187,0),2)</f>
        <v>0</v>
      </c>
      <c r="AG187" s="24">
        <f>ROUND(IF(AQ187="2",BI187,0),2)</f>
        <v>0</v>
      </c>
      <c r="AH187" s="24">
        <f>ROUND(IF(AQ187="0",BJ187,0),2)</f>
        <v>0</v>
      </c>
      <c r="AI187" s="10" t="s">
        <v>49</v>
      </c>
      <c r="AJ187" s="24">
        <f>IF(AN187=0,J187,0)</f>
        <v>0</v>
      </c>
      <c r="AK187" s="24">
        <f>IF(AN187=12,J187,0)</f>
        <v>0</v>
      </c>
      <c r="AL187" s="24">
        <f>IF(AN187=21,J187,0)</f>
        <v>0</v>
      </c>
      <c r="AN187" s="24">
        <v>12</v>
      </c>
      <c r="AO187" s="24">
        <f>G187*0</f>
        <v>0</v>
      </c>
      <c r="AP187" s="24">
        <f>G187*(1-0)</f>
        <v>0</v>
      </c>
      <c r="AQ187" s="26" t="s">
        <v>60</v>
      </c>
      <c r="AV187" s="24">
        <f>ROUND(AW187+AX187,2)</f>
        <v>0</v>
      </c>
      <c r="AW187" s="24">
        <f>ROUND(F187*AO187,2)</f>
        <v>0</v>
      </c>
      <c r="AX187" s="24">
        <f>ROUND(F187*AP187,2)</f>
        <v>0</v>
      </c>
      <c r="AY187" s="26" t="s">
        <v>424</v>
      </c>
      <c r="AZ187" s="26" t="s">
        <v>308</v>
      </c>
      <c r="BA187" s="10" t="s">
        <v>59</v>
      </c>
      <c r="BC187" s="24">
        <f>AW187+AX187</f>
        <v>0</v>
      </c>
      <c r="BD187" s="24">
        <f>G187/(100-BE187)*100</f>
        <v>0</v>
      </c>
      <c r="BE187" s="24">
        <v>0</v>
      </c>
      <c r="BF187" s="24">
        <f>187</f>
        <v>187</v>
      </c>
      <c r="BH187" s="24">
        <f>F187*AO187</f>
        <v>0</v>
      </c>
      <c r="BI187" s="24">
        <f>F187*AP187</f>
        <v>0</v>
      </c>
      <c r="BJ187" s="24">
        <f>F187*G187</f>
        <v>0</v>
      </c>
      <c r="BK187" s="24"/>
      <c r="BL187" s="24"/>
      <c r="BW187" s="24">
        <v>12</v>
      </c>
      <c r="BX187" s="4" t="s">
        <v>428</v>
      </c>
    </row>
    <row r="188" spans="1:76" ht="14.4" x14ac:dyDescent="0.3">
      <c r="A188" s="27"/>
      <c r="B188" s="28" t="s">
        <v>63</v>
      </c>
      <c r="C188" s="95" t="s">
        <v>425</v>
      </c>
      <c r="D188" s="96"/>
      <c r="E188" s="96"/>
      <c r="F188" s="96"/>
      <c r="G188" s="96"/>
      <c r="H188" s="96"/>
      <c r="I188" s="96"/>
      <c r="J188" s="96"/>
      <c r="K188" s="97"/>
      <c r="BX188" s="29" t="s">
        <v>425</v>
      </c>
    </row>
    <row r="189" spans="1:76" ht="14.4" x14ac:dyDescent="0.3">
      <c r="A189" s="2" t="s">
        <v>372</v>
      </c>
      <c r="B189" s="3" t="s">
        <v>429</v>
      </c>
      <c r="C189" s="89" t="s">
        <v>430</v>
      </c>
      <c r="D189" s="90"/>
      <c r="E189" s="3" t="s">
        <v>102</v>
      </c>
      <c r="F189" s="24">
        <v>1</v>
      </c>
      <c r="G189" s="24">
        <v>0</v>
      </c>
      <c r="H189" s="24">
        <f>ROUND(F189*AO189,2)</f>
        <v>0</v>
      </c>
      <c r="I189" s="24">
        <f>ROUND(F189*AP189,2)</f>
        <v>0</v>
      </c>
      <c r="J189" s="24">
        <f>ROUND(F189*G189,2)</f>
        <v>0</v>
      </c>
      <c r="K189" s="25" t="s">
        <v>56</v>
      </c>
      <c r="Z189" s="24">
        <f>ROUND(IF(AQ189="5",BJ189,0),2)</f>
        <v>0</v>
      </c>
      <c r="AB189" s="24">
        <f>ROUND(IF(AQ189="1",BH189,0),2)</f>
        <v>0</v>
      </c>
      <c r="AC189" s="24">
        <f>ROUND(IF(AQ189="1",BI189,0),2)</f>
        <v>0</v>
      </c>
      <c r="AD189" s="24">
        <f>ROUND(IF(AQ189="7",BH189,0),2)</f>
        <v>0</v>
      </c>
      <c r="AE189" s="24">
        <f>ROUND(IF(AQ189="7",BI189,0),2)</f>
        <v>0</v>
      </c>
      <c r="AF189" s="24">
        <f>ROUND(IF(AQ189="2",BH189,0),2)</f>
        <v>0</v>
      </c>
      <c r="AG189" s="24">
        <f>ROUND(IF(AQ189="2",BI189,0),2)</f>
        <v>0</v>
      </c>
      <c r="AH189" s="24">
        <f>ROUND(IF(AQ189="0",BJ189,0),2)</f>
        <v>0</v>
      </c>
      <c r="AI189" s="10" t="s">
        <v>49</v>
      </c>
      <c r="AJ189" s="24">
        <f>IF(AN189=0,J189,0)</f>
        <v>0</v>
      </c>
      <c r="AK189" s="24">
        <f>IF(AN189=12,J189,0)</f>
        <v>0</v>
      </c>
      <c r="AL189" s="24">
        <f>IF(AN189=21,J189,0)</f>
        <v>0</v>
      </c>
      <c r="AN189" s="24">
        <v>12</v>
      </c>
      <c r="AO189" s="24">
        <f>G189*0</f>
        <v>0</v>
      </c>
      <c r="AP189" s="24">
        <f>G189*(1-0)</f>
        <v>0</v>
      </c>
      <c r="AQ189" s="26" t="s">
        <v>60</v>
      </c>
      <c r="AV189" s="24">
        <f>ROUND(AW189+AX189,2)</f>
        <v>0</v>
      </c>
      <c r="AW189" s="24">
        <f>ROUND(F189*AO189,2)</f>
        <v>0</v>
      </c>
      <c r="AX189" s="24">
        <f>ROUND(F189*AP189,2)</f>
        <v>0</v>
      </c>
      <c r="AY189" s="26" t="s">
        <v>424</v>
      </c>
      <c r="AZ189" s="26" t="s">
        <v>308</v>
      </c>
      <c r="BA189" s="10" t="s">
        <v>59</v>
      </c>
      <c r="BC189" s="24">
        <f>AW189+AX189</f>
        <v>0</v>
      </c>
      <c r="BD189" s="24">
        <f>G189/(100-BE189)*100</f>
        <v>0</v>
      </c>
      <c r="BE189" s="24">
        <v>0</v>
      </c>
      <c r="BF189" s="24">
        <f>189</f>
        <v>189</v>
      </c>
      <c r="BH189" s="24">
        <f>F189*AO189</f>
        <v>0</v>
      </c>
      <c r="BI189" s="24">
        <f>F189*AP189</f>
        <v>0</v>
      </c>
      <c r="BJ189" s="24">
        <f>F189*G189</f>
        <v>0</v>
      </c>
      <c r="BK189" s="24"/>
      <c r="BL189" s="24"/>
      <c r="BW189" s="24">
        <v>12</v>
      </c>
      <c r="BX189" s="4" t="s">
        <v>430</v>
      </c>
    </row>
    <row r="190" spans="1:76" ht="14.4" x14ac:dyDescent="0.3">
      <c r="A190" s="2" t="s">
        <v>431</v>
      </c>
      <c r="B190" s="3" t="s">
        <v>432</v>
      </c>
      <c r="C190" s="89" t="s">
        <v>433</v>
      </c>
      <c r="D190" s="90"/>
      <c r="E190" s="3" t="s">
        <v>96</v>
      </c>
      <c r="F190" s="24">
        <v>1</v>
      </c>
      <c r="G190" s="24">
        <v>0</v>
      </c>
      <c r="H190" s="24">
        <f>ROUND(F190*AO190,2)</f>
        <v>0</v>
      </c>
      <c r="I190" s="24">
        <f>ROUND(F190*AP190,2)</f>
        <v>0</v>
      </c>
      <c r="J190" s="24">
        <f>ROUND(F190*G190,2)</f>
        <v>0</v>
      </c>
      <c r="K190" s="25" t="s">
        <v>56</v>
      </c>
      <c r="Z190" s="24">
        <f>ROUND(IF(AQ190="5",BJ190,0),2)</f>
        <v>0</v>
      </c>
      <c r="AB190" s="24">
        <f>ROUND(IF(AQ190="1",BH190,0),2)</f>
        <v>0</v>
      </c>
      <c r="AC190" s="24">
        <f>ROUND(IF(AQ190="1",BI190,0),2)</f>
        <v>0</v>
      </c>
      <c r="AD190" s="24">
        <f>ROUND(IF(AQ190="7",BH190,0),2)</f>
        <v>0</v>
      </c>
      <c r="AE190" s="24">
        <f>ROUND(IF(AQ190="7",BI190,0),2)</f>
        <v>0</v>
      </c>
      <c r="AF190" s="24">
        <f>ROUND(IF(AQ190="2",BH190,0),2)</f>
        <v>0</v>
      </c>
      <c r="AG190" s="24">
        <f>ROUND(IF(AQ190="2",BI190,0),2)</f>
        <v>0</v>
      </c>
      <c r="AH190" s="24">
        <f>ROUND(IF(AQ190="0",BJ190,0),2)</f>
        <v>0</v>
      </c>
      <c r="AI190" s="10" t="s">
        <v>49</v>
      </c>
      <c r="AJ190" s="24">
        <f>IF(AN190=0,J190,0)</f>
        <v>0</v>
      </c>
      <c r="AK190" s="24">
        <f>IF(AN190=12,J190,0)</f>
        <v>0</v>
      </c>
      <c r="AL190" s="24">
        <f>IF(AN190=21,J190,0)</f>
        <v>0</v>
      </c>
      <c r="AN190" s="24">
        <v>12</v>
      </c>
      <c r="AO190" s="24">
        <f>G190*0</f>
        <v>0</v>
      </c>
      <c r="AP190" s="24">
        <f>G190*(1-0)</f>
        <v>0</v>
      </c>
      <c r="AQ190" s="26" t="s">
        <v>60</v>
      </c>
      <c r="AV190" s="24">
        <f>ROUND(AW190+AX190,2)</f>
        <v>0</v>
      </c>
      <c r="AW190" s="24">
        <f>ROUND(F190*AO190,2)</f>
        <v>0</v>
      </c>
      <c r="AX190" s="24">
        <f>ROUND(F190*AP190,2)</f>
        <v>0</v>
      </c>
      <c r="AY190" s="26" t="s">
        <v>424</v>
      </c>
      <c r="AZ190" s="26" t="s">
        <v>308</v>
      </c>
      <c r="BA190" s="10" t="s">
        <v>59</v>
      </c>
      <c r="BC190" s="24">
        <f>AW190+AX190</f>
        <v>0</v>
      </c>
      <c r="BD190" s="24">
        <f>G190/(100-BE190)*100</f>
        <v>0</v>
      </c>
      <c r="BE190" s="24">
        <v>0</v>
      </c>
      <c r="BF190" s="24">
        <f>190</f>
        <v>190</v>
      </c>
      <c r="BH190" s="24">
        <f>F190*AO190</f>
        <v>0</v>
      </c>
      <c r="BI190" s="24">
        <f>F190*AP190</f>
        <v>0</v>
      </c>
      <c r="BJ190" s="24">
        <f>F190*G190</f>
        <v>0</v>
      </c>
      <c r="BK190" s="24"/>
      <c r="BL190" s="24"/>
      <c r="BW190" s="24">
        <v>12</v>
      </c>
      <c r="BX190" s="4" t="s">
        <v>433</v>
      </c>
    </row>
    <row r="191" spans="1:76" ht="14.4" x14ac:dyDescent="0.3">
      <c r="A191" s="2" t="s">
        <v>434</v>
      </c>
      <c r="B191" s="3" t="s">
        <v>435</v>
      </c>
      <c r="C191" s="89" t="s">
        <v>436</v>
      </c>
      <c r="D191" s="90"/>
      <c r="E191" s="3" t="s">
        <v>96</v>
      </c>
      <c r="F191" s="24">
        <v>1</v>
      </c>
      <c r="G191" s="24">
        <v>0</v>
      </c>
      <c r="H191" s="24">
        <f>ROUND(F191*AO191,2)</f>
        <v>0</v>
      </c>
      <c r="I191" s="24">
        <f>ROUND(F191*AP191,2)</f>
        <v>0</v>
      </c>
      <c r="J191" s="24">
        <f>ROUND(F191*G191,2)</f>
        <v>0</v>
      </c>
      <c r="K191" s="25" t="s">
        <v>56</v>
      </c>
      <c r="Z191" s="24">
        <f>ROUND(IF(AQ191="5",BJ191,0),2)</f>
        <v>0</v>
      </c>
      <c r="AB191" s="24">
        <f>ROUND(IF(AQ191="1",BH191,0),2)</f>
        <v>0</v>
      </c>
      <c r="AC191" s="24">
        <f>ROUND(IF(AQ191="1",BI191,0),2)</f>
        <v>0</v>
      </c>
      <c r="AD191" s="24">
        <f>ROUND(IF(AQ191="7",BH191,0),2)</f>
        <v>0</v>
      </c>
      <c r="AE191" s="24">
        <f>ROUND(IF(AQ191="7",BI191,0),2)</f>
        <v>0</v>
      </c>
      <c r="AF191" s="24">
        <f>ROUND(IF(AQ191="2",BH191,0),2)</f>
        <v>0</v>
      </c>
      <c r="AG191" s="24">
        <f>ROUND(IF(AQ191="2",BI191,0),2)</f>
        <v>0</v>
      </c>
      <c r="AH191" s="24">
        <f>ROUND(IF(AQ191="0",BJ191,0),2)</f>
        <v>0</v>
      </c>
      <c r="AI191" s="10" t="s">
        <v>49</v>
      </c>
      <c r="AJ191" s="24">
        <f>IF(AN191=0,J191,0)</f>
        <v>0</v>
      </c>
      <c r="AK191" s="24">
        <f>IF(AN191=12,J191,0)</f>
        <v>0</v>
      </c>
      <c r="AL191" s="24">
        <f>IF(AN191=21,J191,0)</f>
        <v>0</v>
      </c>
      <c r="AN191" s="24">
        <v>12</v>
      </c>
      <c r="AO191" s="24">
        <f>G191*0</f>
        <v>0</v>
      </c>
      <c r="AP191" s="24">
        <f>G191*(1-0)</f>
        <v>0</v>
      </c>
      <c r="AQ191" s="26" t="s">
        <v>60</v>
      </c>
      <c r="AV191" s="24">
        <f>ROUND(AW191+AX191,2)</f>
        <v>0</v>
      </c>
      <c r="AW191" s="24">
        <f>ROUND(F191*AO191,2)</f>
        <v>0</v>
      </c>
      <c r="AX191" s="24">
        <f>ROUND(F191*AP191,2)</f>
        <v>0</v>
      </c>
      <c r="AY191" s="26" t="s">
        <v>424</v>
      </c>
      <c r="AZ191" s="26" t="s">
        <v>308</v>
      </c>
      <c r="BA191" s="10" t="s">
        <v>59</v>
      </c>
      <c r="BC191" s="24">
        <f>AW191+AX191</f>
        <v>0</v>
      </c>
      <c r="BD191" s="24">
        <f>G191/(100-BE191)*100</f>
        <v>0</v>
      </c>
      <c r="BE191" s="24">
        <v>0</v>
      </c>
      <c r="BF191" s="24">
        <f>191</f>
        <v>191</v>
      </c>
      <c r="BH191" s="24">
        <f>F191*AO191</f>
        <v>0</v>
      </c>
      <c r="BI191" s="24">
        <f>F191*AP191</f>
        <v>0</v>
      </c>
      <c r="BJ191" s="24">
        <f>F191*G191</f>
        <v>0</v>
      </c>
      <c r="BK191" s="24"/>
      <c r="BL191" s="24"/>
      <c r="BW191" s="24">
        <v>12</v>
      </c>
      <c r="BX191" s="4" t="s">
        <v>436</v>
      </c>
    </row>
    <row r="192" spans="1:76" ht="14.4" x14ac:dyDescent="0.3">
      <c r="A192" s="2" t="s">
        <v>437</v>
      </c>
      <c r="B192" s="3" t="s">
        <v>438</v>
      </c>
      <c r="C192" s="89" t="s">
        <v>439</v>
      </c>
      <c r="D192" s="90"/>
      <c r="E192" s="3" t="s">
        <v>440</v>
      </c>
      <c r="F192" s="24">
        <v>1</v>
      </c>
      <c r="G192" s="24">
        <v>0</v>
      </c>
      <c r="H192" s="24">
        <f>ROUND(F192*AO192,2)</f>
        <v>0</v>
      </c>
      <c r="I192" s="24">
        <f>ROUND(F192*AP192,2)</f>
        <v>0</v>
      </c>
      <c r="J192" s="24">
        <f>ROUND(F192*G192,2)</f>
        <v>0</v>
      </c>
      <c r="K192" s="25" t="s">
        <v>56</v>
      </c>
      <c r="Z192" s="24">
        <f>ROUND(IF(AQ192="5",BJ192,0),2)</f>
        <v>0</v>
      </c>
      <c r="AB192" s="24">
        <f>ROUND(IF(AQ192="1",BH192,0),2)</f>
        <v>0</v>
      </c>
      <c r="AC192" s="24">
        <f>ROUND(IF(AQ192="1",BI192,0),2)</f>
        <v>0</v>
      </c>
      <c r="AD192" s="24">
        <f>ROUND(IF(AQ192="7",BH192,0),2)</f>
        <v>0</v>
      </c>
      <c r="AE192" s="24">
        <f>ROUND(IF(AQ192="7",BI192,0),2)</f>
        <v>0</v>
      </c>
      <c r="AF192" s="24">
        <f>ROUND(IF(AQ192="2",BH192,0),2)</f>
        <v>0</v>
      </c>
      <c r="AG192" s="24">
        <f>ROUND(IF(AQ192="2",BI192,0),2)</f>
        <v>0</v>
      </c>
      <c r="AH192" s="24">
        <f>ROUND(IF(AQ192="0",BJ192,0),2)</f>
        <v>0</v>
      </c>
      <c r="AI192" s="10" t="s">
        <v>49</v>
      </c>
      <c r="AJ192" s="24">
        <f>IF(AN192=0,J192,0)</f>
        <v>0</v>
      </c>
      <c r="AK192" s="24">
        <f>IF(AN192=12,J192,0)</f>
        <v>0</v>
      </c>
      <c r="AL192" s="24">
        <f>IF(AN192=21,J192,0)</f>
        <v>0</v>
      </c>
      <c r="AN192" s="24">
        <v>12</v>
      </c>
      <c r="AO192" s="24">
        <f>G192*0</f>
        <v>0</v>
      </c>
      <c r="AP192" s="24">
        <f>G192*(1-0)</f>
        <v>0</v>
      </c>
      <c r="AQ192" s="26" t="s">
        <v>60</v>
      </c>
      <c r="AV192" s="24">
        <f>ROUND(AW192+AX192,2)</f>
        <v>0</v>
      </c>
      <c r="AW192" s="24">
        <f>ROUND(F192*AO192,2)</f>
        <v>0</v>
      </c>
      <c r="AX192" s="24">
        <f>ROUND(F192*AP192,2)</f>
        <v>0</v>
      </c>
      <c r="AY192" s="26" t="s">
        <v>424</v>
      </c>
      <c r="AZ192" s="26" t="s">
        <v>308</v>
      </c>
      <c r="BA192" s="10" t="s">
        <v>59</v>
      </c>
      <c r="BC192" s="24">
        <f>AW192+AX192</f>
        <v>0</v>
      </c>
      <c r="BD192" s="24">
        <f>G192/(100-BE192)*100</f>
        <v>0</v>
      </c>
      <c r="BE192" s="24">
        <v>0</v>
      </c>
      <c r="BF192" s="24">
        <f>192</f>
        <v>192</v>
      </c>
      <c r="BH192" s="24">
        <f>F192*AO192</f>
        <v>0</v>
      </c>
      <c r="BI192" s="24">
        <f>F192*AP192</f>
        <v>0</v>
      </c>
      <c r="BJ192" s="24">
        <f>F192*G192</f>
        <v>0</v>
      </c>
      <c r="BK192" s="24"/>
      <c r="BL192" s="24"/>
      <c r="BW192" s="24">
        <v>12</v>
      </c>
      <c r="BX192" s="4" t="s">
        <v>439</v>
      </c>
    </row>
    <row r="193" spans="1:76" ht="14.4" x14ac:dyDescent="0.3">
      <c r="A193" s="30" t="s">
        <v>49</v>
      </c>
      <c r="B193" s="31" t="s">
        <v>441</v>
      </c>
      <c r="C193" s="91" t="s">
        <v>442</v>
      </c>
      <c r="D193" s="92"/>
      <c r="E193" s="32" t="s">
        <v>4</v>
      </c>
      <c r="F193" s="32" t="s">
        <v>4</v>
      </c>
      <c r="G193" s="32" t="s">
        <v>4</v>
      </c>
      <c r="H193" s="1">
        <f>SUM(H194:H226)</f>
        <v>0</v>
      </c>
      <c r="I193" s="1">
        <f>SUM(I194:I226)</f>
        <v>0</v>
      </c>
      <c r="J193" s="1">
        <f>SUM(J194:J226)</f>
        <v>0</v>
      </c>
      <c r="K193" s="33" t="s">
        <v>49</v>
      </c>
      <c r="AI193" s="10" t="s">
        <v>49</v>
      </c>
      <c r="AS193" s="1">
        <f>SUM(AJ194:AJ226)</f>
        <v>0</v>
      </c>
      <c r="AT193" s="1">
        <f>SUM(AK194:AK226)</f>
        <v>0</v>
      </c>
      <c r="AU193" s="1">
        <f>SUM(AL194:AL226)</f>
        <v>0</v>
      </c>
    </row>
    <row r="194" spans="1:76" ht="14.4" x14ac:dyDescent="0.3">
      <c r="A194" s="2" t="s">
        <v>443</v>
      </c>
      <c r="B194" s="3" t="s">
        <v>444</v>
      </c>
      <c r="C194" s="89" t="s">
        <v>445</v>
      </c>
      <c r="D194" s="90"/>
      <c r="E194" s="3" t="s">
        <v>96</v>
      </c>
      <c r="F194" s="24">
        <v>1</v>
      </c>
      <c r="G194" s="24">
        <v>0</v>
      </c>
      <c r="H194" s="24">
        <f>ROUND(F194*AO194,2)</f>
        <v>0</v>
      </c>
      <c r="I194" s="24">
        <f>ROUND(F194*AP194,2)</f>
        <v>0</v>
      </c>
      <c r="J194" s="24">
        <f>ROUND(F194*G194,2)</f>
        <v>0</v>
      </c>
      <c r="K194" s="25" t="s">
        <v>56</v>
      </c>
      <c r="Z194" s="24">
        <f>ROUND(IF(AQ194="5",BJ194,0),2)</f>
        <v>0</v>
      </c>
      <c r="AB194" s="24">
        <f>ROUND(IF(AQ194="1",BH194,0),2)</f>
        <v>0</v>
      </c>
      <c r="AC194" s="24">
        <f>ROUND(IF(AQ194="1",BI194,0),2)</f>
        <v>0</v>
      </c>
      <c r="AD194" s="24">
        <f>ROUND(IF(AQ194="7",BH194,0),2)</f>
        <v>0</v>
      </c>
      <c r="AE194" s="24">
        <f>ROUND(IF(AQ194="7",BI194,0),2)</f>
        <v>0</v>
      </c>
      <c r="AF194" s="24">
        <f>ROUND(IF(AQ194="2",BH194,0),2)</f>
        <v>0</v>
      </c>
      <c r="AG194" s="24">
        <f>ROUND(IF(AQ194="2",BI194,0),2)</f>
        <v>0</v>
      </c>
      <c r="AH194" s="24">
        <f>ROUND(IF(AQ194="0",BJ194,0),2)</f>
        <v>0</v>
      </c>
      <c r="AI194" s="10" t="s">
        <v>49</v>
      </c>
      <c r="AJ194" s="24">
        <f>IF(AN194=0,J194,0)</f>
        <v>0</v>
      </c>
      <c r="AK194" s="24">
        <f>IF(AN194=12,J194,0)</f>
        <v>0</v>
      </c>
      <c r="AL194" s="24">
        <f>IF(AN194=21,J194,0)</f>
        <v>0</v>
      </c>
      <c r="AN194" s="24">
        <v>12</v>
      </c>
      <c r="AO194" s="24">
        <f>G194*0.617322404</f>
        <v>0</v>
      </c>
      <c r="AP194" s="24">
        <f>G194*(1-0.617322404)</f>
        <v>0</v>
      </c>
      <c r="AQ194" s="26" t="s">
        <v>60</v>
      </c>
      <c r="AV194" s="24">
        <f>ROUND(AW194+AX194,2)</f>
        <v>0</v>
      </c>
      <c r="AW194" s="24">
        <f>ROUND(F194*AO194,2)</f>
        <v>0</v>
      </c>
      <c r="AX194" s="24">
        <f>ROUND(F194*AP194,2)</f>
        <v>0</v>
      </c>
      <c r="AY194" s="26" t="s">
        <v>446</v>
      </c>
      <c r="AZ194" s="26" t="s">
        <v>308</v>
      </c>
      <c r="BA194" s="10" t="s">
        <v>59</v>
      </c>
      <c r="BC194" s="24">
        <f>AW194+AX194</f>
        <v>0</v>
      </c>
      <c r="BD194" s="24">
        <f>G194/(100-BE194)*100</f>
        <v>0</v>
      </c>
      <c r="BE194" s="24">
        <v>0</v>
      </c>
      <c r="BF194" s="24">
        <f>194</f>
        <v>194</v>
      </c>
      <c r="BH194" s="24">
        <f>F194*AO194</f>
        <v>0</v>
      </c>
      <c r="BI194" s="24">
        <f>F194*AP194</f>
        <v>0</v>
      </c>
      <c r="BJ194" s="24">
        <f>F194*G194</f>
        <v>0</v>
      </c>
      <c r="BK194" s="24"/>
      <c r="BL194" s="24"/>
      <c r="BW194" s="24">
        <v>12</v>
      </c>
      <c r="BX194" s="4" t="s">
        <v>445</v>
      </c>
    </row>
    <row r="195" spans="1:76" ht="13.5" customHeight="1" x14ac:dyDescent="0.3">
      <c r="A195" s="27"/>
      <c r="B195" s="28" t="s">
        <v>86</v>
      </c>
      <c r="C195" s="95" t="s">
        <v>746</v>
      </c>
      <c r="D195" s="96"/>
      <c r="E195" s="96"/>
      <c r="F195" s="96"/>
      <c r="G195" s="96"/>
      <c r="H195" s="96"/>
      <c r="I195" s="96"/>
      <c r="J195" s="96"/>
      <c r="K195" s="97"/>
    </row>
    <row r="196" spans="1:76" ht="14.4" x14ac:dyDescent="0.3">
      <c r="A196" s="2" t="s">
        <v>447</v>
      </c>
      <c r="B196" s="3" t="s">
        <v>448</v>
      </c>
      <c r="C196" s="89" t="s">
        <v>449</v>
      </c>
      <c r="D196" s="90"/>
      <c r="E196" s="3" t="s">
        <v>102</v>
      </c>
      <c r="F196" s="24">
        <v>35</v>
      </c>
      <c r="G196" s="24">
        <v>0</v>
      </c>
      <c r="H196" s="24">
        <f>ROUND(F196*AO196,2)</f>
        <v>0</v>
      </c>
      <c r="I196" s="24">
        <f>ROUND(F196*AP196,2)</f>
        <v>0</v>
      </c>
      <c r="J196" s="24">
        <f>ROUND(F196*G196,2)</f>
        <v>0</v>
      </c>
      <c r="K196" s="25" t="s">
        <v>56</v>
      </c>
      <c r="Z196" s="24">
        <f>ROUND(IF(AQ196="5",BJ196,0),2)</f>
        <v>0</v>
      </c>
      <c r="AB196" s="24">
        <f>ROUND(IF(AQ196="1",BH196,0),2)</f>
        <v>0</v>
      </c>
      <c r="AC196" s="24">
        <f>ROUND(IF(AQ196="1",BI196,0),2)</f>
        <v>0</v>
      </c>
      <c r="AD196" s="24">
        <f>ROUND(IF(AQ196="7",BH196,0),2)</f>
        <v>0</v>
      </c>
      <c r="AE196" s="24">
        <f>ROUND(IF(AQ196="7",BI196,0),2)</f>
        <v>0</v>
      </c>
      <c r="AF196" s="24">
        <f>ROUND(IF(AQ196="2",BH196,0),2)</f>
        <v>0</v>
      </c>
      <c r="AG196" s="24">
        <f>ROUND(IF(AQ196="2",BI196,0),2)</f>
        <v>0</v>
      </c>
      <c r="AH196" s="24">
        <f>ROUND(IF(AQ196="0",BJ196,0),2)</f>
        <v>0</v>
      </c>
      <c r="AI196" s="10" t="s">
        <v>49</v>
      </c>
      <c r="AJ196" s="24">
        <f>IF(AN196=0,J196,0)</f>
        <v>0</v>
      </c>
      <c r="AK196" s="24">
        <f>IF(AN196=12,J196,0)</f>
        <v>0</v>
      </c>
      <c r="AL196" s="24">
        <f>IF(AN196=21,J196,0)</f>
        <v>0</v>
      </c>
      <c r="AN196" s="24">
        <v>12</v>
      </c>
      <c r="AO196" s="24">
        <f>G196*0.329951332</f>
        <v>0</v>
      </c>
      <c r="AP196" s="24">
        <f>G196*(1-0.329951332)</f>
        <v>0</v>
      </c>
      <c r="AQ196" s="26" t="s">
        <v>60</v>
      </c>
      <c r="AV196" s="24">
        <f>ROUND(AW196+AX196,2)</f>
        <v>0</v>
      </c>
      <c r="AW196" s="24">
        <f>ROUND(F196*AO196,2)</f>
        <v>0</v>
      </c>
      <c r="AX196" s="24">
        <f>ROUND(F196*AP196,2)</f>
        <v>0</v>
      </c>
      <c r="AY196" s="26" t="s">
        <v>446</v>
      </c>
      <c r="AZ196" s="26" t="s">
        <v>308</v>
      </c>
      <c r="BA196" s="10" t="s">
        <v>59</v>
      </c>
      <c r="BC196" s="24">
        <f>AW196+AX196</f>
        <v>0</v>
      </c>
      <c r="BD196" s="24">
        <f>G196/(100-BE196)*100</f>
        <v>0</v>
      </c>
      <c r="BE196" s="24">
        <v>0</v>
      </c>
      <c r="BF196" s="24">
        <f>196</f>
        <v>196</v>
      </c>
      <c r="BH196" s="24">
        <f>F196*AO196</f>
        <v>0</v>
      </c>
      <c r="BI196" s="24">
        <f>F196*AP196</f>
        <v>0</v>
      </c>
      <c r="BJ196" s="24">
        <f>F196*G196</f>
        <v>0</v>
      </c>
      <c r="BK196" s="24"/>
      <c r="BL196" s="24"/>
      <c r="BW196" s="24">
        <v>12</v>
      </c>
      <c r="BX196" s="4" t="s">
        <v>449</v>
      </c>
    </row>
    <row r="197" spans="1:76" ht="14.4" x14ac:dyDescent="0.3">
      <c r="A197" s="2" t="s">
        <v>450</v>
      </c>
      <c r="B197" s="3" t="s">
        <v>451</v>
      </c>
      <c r="C197" s="89" t="s">
        <v>452</v>
      </c>
      <c r="D197" s="90"/>
      <c r="E197" s="3" t="s">
        <v>96</v>
      </c>
      <c r="F197" s="24">
        <v>4</v>
      </c>
      <c r="G197" s="24">
        <v>0</v>
      </c>
      <c r="H197" s="24">
        <f>ROUND(F197*AO197,2)</f>
        <v>0</v>
      </c>
      <c r="I197" s="24">
        <f>ROUND(F197*AP197,2)</f>
        <v>0</v>
      </c>
      <c r="J197" s="24">
        <f>ROUND(F197*G197,2)</f>
        <v>0</v>
      </c>
      <c r="K197" s="25" t="s">
        <v>56</v>
      </c>
      <c r="Z197" s="24">
        <f>ROUND(IF(AQ197="5",BJ197,0),2)</f>
        <v>0</v>
      </c>
      <c r="AB197" s="24">
        <f>ROUND(IF(AQ197="1",BH197,0),2)</f>
        <v>0</v>
      </c>
      <c r="AC197" s="24">
        <f>ROUND(IF(AQ197="1",BI197,0),2)</f>
        <v>0</v>
      </c>
      <c r="AD197" s="24">
        <f>ROUND(IF(AQ197="7",BH197,0),2)</f>
        <v>0</v>
      </c>
      <c r="AE197" s="24">
        <f>ROUND(IF(AQ197="7",BI197,0),2)</f>
        <v>0</v>
      </c>
      <c r="AF197" s="24">
        <f>ROUND(IF(AQ197="2",BH197,0),2)</f>
        <v>0</v>
      </c>
      <c r="AG197" s="24">
        <f>ROUND(IF(AQ197="2",BI197,0),2)</f>
        <v>0</v>
      </c>
      <c r="AH197" s="24">
        <f>ROUND(IF(AQ197="0",BJ197,0),2)</f>
        <v>0</v>
      </c>
      <c r="AI197" s="10" t="s">
        <v>49</v>
      </c>
      <c r="AJ197" s="24">
        <f>IF(AN197=0,J197,0)</f>
        <v>0</v>
      </c>
      <c r="AK197" s="24">
        <f>IF(AN197=12,J197,0)</f>
        <v>0</v>
      </c>
      <c r="AL197" s="24">
        <f>IF(AN197=21,J197,0)</f>
        <v>0</v>
      </c>
      <c r="AN197" s="24">
        <v>12</v>
      </c>
      <c r="AO197" s="24">
        <f>G197*0</f>
        <v>0</v>
      </c>
      <c r="AP197" s="24">
        <f>G197*(1-0)</f>
        <v>0</v>
      </c>
      <c r="AQ197" s="26" t="s">
        <v>60</v>
      </c>
      <c r="AV197" s="24">
        <f>ROUND(AW197+AX197,2)</f>
        <v>0</v>
      </c>
      <c r="AW197" s="24">
        <f>ROUND(F197*AO197,2)</f>
        <v>0</v>
      </c>
      <c r="AX197" s="24">
        <f>ROUND(F197*AP197,2)</f>
        <v>0</v>
      </c>
      <c r="AY197" s="26" t="s">
        <v>446</v>
      </c>
      <c r="AZ197" s="26" t="s">
        <v>308</v>
      </c>
      <c r="BA197" s="10" t="s">
        <v>59</v>
      </c>
      <c r="BC197" s="24">
        <f>AW197+AX197</f>
        <v>0</v>
      </c>
      <c r="BD197" s="24">
        <f>G197/(100-BE197)*100</f>
        <v>0</v>
      </c>
      <c r="BE197" s="24">
        <v>0</v>
      </c>
      <c r="BF197" s="24">
        <f>197</f>
        <v>197</v>
      </c>
      <c r="BH197" s="24">
        <f>F197*AO197</f>
        <v>0</v>
      </c>
      <c r="BI197" s="24">
        <f>F197*AP197</f>
        <v>0</v>
      </c>
      <c r="BJ197" s="24">
        <f>F197*G197</f>
        <v>0</v>
      </c>
      <c r="BK197" s="24"/>
      <c r="BL197" s="24"/>
      <c r="BW197" s="24">
        <v>12</v>
      </c>
      <c r="BX197" s="4" t="s">
        <v>452</v>
      </c>
    </row>
    <row r="198" spans="1:76" ht="14.4" x14ac:dyDescent="0.3">
      <c r="A198" s="2" t="s">
        <v>453</v>
      </c>
      <c r="B198" s="3" t="s">
        <v>454</v>
      </c>
      <c r="C198" s="89" t="s">
        <v>455</v>
      </c>
      <c r="D198" s="90"/>
      <c r="E198" s="3" t="s">
        <v>96</v>
      </c>
      <c r="F198" s="24">
        <v>8</v>
      </c>
      <c r="G198" s="24">
        <v>0</v>
      </c>
      <c r="H198" s="24">
        <f>ROUND(F198*AO198,2)</f>
        <v>0</v>
      </c>
      <c r="I198" s="24">
        <f>ROUND(F198*AP198,2)</f>
        <v>0</v>
      </c>
      <c r="J198" s="24">
        <f>ROUND(F198*G198,2)</f>
        <v>0</v>
      </c>
      <c r="K198" s="25" t="s">
        <v>56</v>
      </c>
      <c r="Z198" s="24">
        <f>ROUND(IF(AQ198="5",BJ198,0),2)</f>
        <v>0</v>
      </c>
      <c r="AB198" s="24">
        <f>ROUND(IF(AQ198="1",BH198,0),2)</f>
        <v>0</v>
      </c>
      <c r="AC198" s="24">
        <f>ROUND(IF(AQ198="1",BI198,0),2)</f>
        <v>0</v>
      </c>
      <c r="AD198" s="24">
        <f>ROUND(IF(AQ198="7",BH198,0),2)</f>
        <v>0</v>
      </c>
      <c r="AE198" s="24">
        <f>ROUND(IF(AQ198="7",BI198,0),2)</f>
        <v>0</v>
      </c>
      <c r="AF198" s="24">
        <f>ROUND(IF(AQ198="2",BH198,0),2)</f>
        <v>0</v>
      </c>
      <c r="AG198" s="24">
        <f>ROUND(IF(AQ198="2",BI198,0),2)</f>
        <v>0</v>
      </c>
      <c r="AH198" s="24">
        <f>ROUND(IF(AQ198="0",BJ198,0),2)</f>
        <v>0</v>
      </c>
      <c r="AI198" s="10" t="s">
        <v>49</v>
      </c>
      <c r="AJ198" s="24">
        <f>IF(AN198=0,J198,0)</f>
        <v>0</v>
      </c>
      <c r="AK198" s="24">
        <f>IF(AN198=12,J198,0)</f>
        <v>0</v>
      </c>
      <c r="AL198" s="24">
        <f>IF(AN198=21,J198,0)</f>
        <v>0</v>
      </c>
      <c r="AN198" s="24">
        <v>12</v>
      </c>
      <c r="AO198" s="24">
        <f>G198*0.598404255</f>
        <v>0</v>
      </c>
      <c r="AP198" s="24">
        <f>G198*(1-0.598404255)</f>
        <v>0</v>
      </c>
      <c r="AQ198" s="26" t="s">
        <v>60</v>
      </c>
      <c r="AV198" s="24">
        <f>ROUND(AW198+AX198,2)</f>
        <v>0</v>
      </c>
      <c r="AW198" s="24">
        <f>ROUND(F198*AO198,2)</f>
        <v>0</v>
      </c>
      <c r="AX198" s="24">
        <f>ROUND(F198*AP198,2)</f>
        <v>0</v>
      </c>
      <c r="AY198" s="26" t="s">
        <v>446</v>
      </c>
      <c r="AZ198" s="26" t="s">
        <v>308</v>
      </c>
      <c r="BA198" s="10" t="s">
        <v>59</v>
      </c>
      <c r="BC198" s="24">
        <f>AW198+AX198</f>
        <v>0</v>
      </c>
      <c r="BD198" s="24">
        <f>G198/(100-BE198)*100</f>
        <v>0</v>
      </c>
      <c r="BE198" s="24">
        <v>0</v>
      </c>
      <c r="BF198" s="24">
        <f>198</f>
        <v>198</v>
      </c>
      <c r="BH198" s="24">
        <f>F198*AO198</f>
        <v>0</v>
      </c>
      <c r="BI198" s="24">
        <f>F198*AP198</f>
        <v>0</v>
      </c>
      <c r="BJ198" s="24">
        <f>F198*G198</f>
        <v>0</v>
      </c>
      <c r="BK198" s="24"/>
      <c r="BL198" s="24"/>
      <c r="BW198" s="24">
        <v>12</v>
      </c>
      <c r="BX198" s="4" t="s">
        <v>455</v>
      </c>
    </row>
    <row r="199" spans="1:76" ht="14.4" x14ac:dyDescent="0.3">
      <c r="A199" s="2" t="s">
        <v>456</v>
      </c>
      <c r="B199" s="3" t="s">
        <v>457</v>
      </c>
      <c r="C199" s="89" t="s">
        <v>458</v>
      </c>
      <c r="D199" s="90"/>
      <c r="E199" s="3" t="s">
        <v>102</v>
      </c>
      <c r="F199" s="24">
        <v>13</v>
      </c>
      <c r="G199" s="24">
        <v>0</v>
      </c>
      <c r="H199" s="24">
        <f>ROUND(F199*AO199,2)</f>
        <v>0</v>
      </c>
      <c r="I199" s="24">
        <f>ROUND(F199*AP199,2)</f>
        <v>0</v>
      </c>
      <c r="J199" s="24">
        <f>ROUND(F199*G199,2)</f>
        <v>0</v>
      </c>
      <c r="K199" s="25" t="s">
        <v>56</v>
      </c>
      <c r="Z199" s="24">
        <f>ROUND(IF(AQ199="5",BJ199,0),2)</f>
        <v>0</v>
      </c>
      <c r="AB199" s="24">
        <f>ROUND(IF(AQ199="1",BH199,0),2)</f>
        <v>0</v>
      </c>
      <c r="AC199" s="24">
        <f>ROUND(IF(AQ199="1",BI199,0),2)</f>
        <v>0</v>
      </c>
      <c r="AD199" s="24">
        <f>ROUND(IF(AQ199="7",BH199,0),2)</f>
        <v>0</v>
      </c>
      <c r="AE199" s="24">
        <f>ROUND(IF(AQ199="7",BI199,0),2)</f>
        <v>0</v>
      </c>
      <c r="AF199" s="24">
        <f>ROUND(IF(AQ199="2",BH199,0),2)</f>
        <v>0</v>
      </c>
      <c r="AG199" s="24">
        <f>ROUND(IF(AQ199="2",BI199,0),2)</f>
        <v>0</v>
      </c>
      <c r="AH199" s="24">
        <f>ROUND(IF(AQ199="0",BJ199,0),2)</f>
        <v>0</v>
      </c>
      <c r="AI199" s="10" t="s">
        <v>49</v>
      </c>
      <c r="AJ199" s="24">
        <f>IF(AN199=0,J199,0)</f>
        <v>0</v>
      </c>
      <c r="AK199" s="24">
        <f>IF(AN199=12,J199,0)</f>
        <v>0</v>
      </c>
      <c r="AL199" s="24">
        <f>IF(AN199=21,J199,0)</f>
        <v>0</v>
      </c>
      <c r="AN199" s="24">
        <v>12</v>
      </c>
      <c r="AO199" s="24">
        <f>G199*0.084315637</f>
        <v>0</v>
      </c>
      <c r="AP199" s="24">
        <f>G199*(1-0.084315637)</f>
        <v>0</v>
      </c>
      <c r="AQ199" s="26" t="s">
        <v>60</v>
      </c>
      <c r="AV199" s="24">
        <f>ROUND(AW199+AX199,2)</f>
        <v>0</v>
      </c>
      <c r="AW199" s="24">
        <f>ROUND(F199*AO199,2)</f>
        <v>0</v>
      </c>
      <c r="AX199" s="24">
        <f>ROUND(F199*AP199,2)</f>
        <v>0</v>
      </c>
      <c r="AY199" s="26" t="s">
        <v>446</v>
      </c>
      <c r="AZ199" s="26" t="s">
        <v>308</v>
      </c>
      <c r="BA199" s="10" t="s">
        <v>59</v>
      </c>
      <c r="BC199" s="24">
        <f>AW199+AX199</f>
        <v>0</v>
      </c>
      <c r="BD199" s="24">
        <f>G199/(100-BE199)*100</f>
        <v>0</v>
      </c>
      <c r="BE199" s="24">
        <v>0</v>
      </c>
      <c r="BF199" s="24">
        <f>199</f>
        <v>199</v>
      </c>
      <c r="BH199" s="24">
        <f>F199*AO199</f>
        <v>0</v>
      </c>
      <c r="BI199" s="24">
        <f>F199*AP199</f>
        <v>0</v>
      </c>
      <c r="BJ199" s="24">
        <f>F199*G199</f>
        <v>0</v>
      </c>
      <c r="BK199" s="24"/>
      <c r="BL199" s="24"/>
      <c r="BW199" s="24">
        <v>12</v>
      </c>
      <c r="BX199" s="4" t="s">
        <v>458</v>
      </c>
    </row>
    <row r="200" spans="1:76" ht="13.5" customHeight="1" x14ac:dyDescent="0.3">
      <c r="A200" s="27"/>
      <c r="B200" s="28" t="s">
        <v>86</v>
      </c>
      <c r="C200" s="95" t="s">
        <v>747</v>
      </c>
      <c r="D200" s="96"/>
      <c r="E200" s="96"/>
      <c r="F200" s="96"/>
      <c r="G200" s="96"/>
      <c r="H200" s="96"/>
      <c r="I200" s="96"/>
      <c r="J200" s="96"/>
      <c r="K200" s="97"/>
    </row>
    <row r="201" spans="1:76" ht="14.4" x14ac:dyDescent="0.3">
      <c r="A201" s="2" t="s">
        <v>459</v>
      </c>
      <c r="B201" s="3" t="s">
        <v>460</v>
      </c>
      <c r="C201" s="89" t="s">
        <v>458</v>
      </c>
      <c r="D201" s="90"/>
      <c r="E201" s="3" t="s">
        <v>102</v>
      </c>
      <c r="F201" s="24">
        <v>3</v>
      </c>
      <c r="G201" s="24">
        <v>0</v>
      </c>
      <c r="H201" s="24">
        <f>ROUND(F201*AO201,2)</f>
        <v>0</v>
      </c>
      <c r="I201" s="24">
        <f>ROUND(F201*AP201,2)</f>
        <v>0</v>
      </c>
      <c r="J201" s="24">
        <f>ROUND(F201*G201,2)</f>
        <v>0</v>
      </c>
      <c r="K201" s="25" t="s">
        <v>56</v>
      </c>
      <c r="Z201" s="24">
        <f>ROUND(IF(AQ201="5",BJ201,0),2)</f>
        <v>0</v>
      </c>
      <c r="AB201" s="24">
        <f>ROUND(IF(AQ201="1",BH201,0),2)</f>
        <v>0</v>
      </c>
      <c r="AC201" s="24">
        <f>ROUND(IF(AQ201="1",BI201,0),2)</f>
        <v>0</v>
      </c>
      <c r="AD201" s="24">
        <f>ROUND(IF(AQ201="7",BH201,0),2)</f>
        <v>0</v>
      </c>
      <c r="AE201" s="24">
        <f>ROUND(IF(AQ201="7",BI201,0),2)</f>
        <v>0</v>
      </c>
      <c r="AF201" s="24">
        <f>ROUND(IF(AQ201="2",BH201,0),2)</f>
        <v>0</v>
      </c>
      <c r="AG201" s="24">
        <f>ROUND(IF(AQ201="2",BI201,0),2)</f>
        <v>0</v>
      </c>
      <c r="AH201" s="24">
        <f>ROUND(IF(AQ201="0",BJ201,0),2)</f>
        <v>0</v>
      </c>
      <c r="AI201" s="10" t="s">
        <v>49</v>
      </c>
      <c r="AJ201" s="24">
        <f>IF(AN201=0,J201,0)</f>
        <v>0</v>
      </c>
      <c r="AK201" s="24">
        <f>IF(AN201=12,J201,0)</f>
        <v>0</v>
      </c>
      <c r="AL201" s="24">
        <f>IF(AN201=21,J201,0)</f>
        <v>0</v>
      </c>
      <c r="AN201" s="24">
        <v>12</v>
      </c>
      <c r="AO201" s="24">
        <f>G201*0.087052715</f>
        <v>0</v>
      </c>
      <c r="AP201" s="24">
        <f>G201*(1-0.087052715)</f>
        <v>0</v>
      </c>
      <c r="AQ201" s="26" t="s">
        <v>60</v>
      </c>
      <c r="AV201" s="24">
        <f>ROUND(AW201+AX201,2)</f>
        <v>0</v>
      </c>
      <c r="AW201" s="24">
        <f>ROUND(F201*AO201,2)</f>
        <v>0</v>
      </c>
      <c r="AX201" s="24">
        <f>ROUND(F201*AP201,2)</f>
        <v>0</v>
      </c>
      <c r="AY201" s="26" t="s">
        <v>446</v>
      </c>
      <c r="AZ201" s="26" t="s">
        <v>308</v>
      </c>
      <c r="BA201" s="10" t="s">
        <v>59</v>
      </c>
      <c r="BC201" s="24">
        <f>AW201+AX201</f>
        <v>0</v>
      </c>
      <c r="BD201" s="24">
        <f>G201/(100-BE201)*100</f>
        <v>0</v>
      </c>
      <c r="BE201" s="24">
        <v>0</v>
      </c>
      <c r="BF201" s="24">
        <f>201</f>
        <v>201</v>
      </c>
      <c r="BH201" s="24">
        <f>F201*AO201</f>
        <v>0</v>
      </c>
      <c r="BI201" s="24">
        <f>F201*AP201</f>
        <v>0</v>
      </c>
      <c r="BJ201" s="24">
        <f>F201*G201</f>
        <v>0</v>
      </c>
      <c r="BK201" s="24"/>
      <c r="BL201" s="24"/>
      <c r="BW201" s="24">
        <v>12</v>
      </c>
      <c r="BX201" s="4" t="s">
        <v>458</v>
      </c>
    </row>
    <row r="202" spans="1:76" ht="13.5" customHeight="1" x14ac:dyDescent="0.3">
      <c r="A202" s="27"/>
      <c r="B202" s="28" t="s">
        <v>86</v>
      </c>
      <c r="C202" s="95" t="s">
        <v>747</v>
      </c>
      <c r="D202" s="96"/>
      <c r="E202" s="96"/>
      <c r="F202" s="96"/>
      <c r="G202" s="96"/>
      <c r="H202" s="96"/>
      <c r="I202" s="96"/>
      <c r="J202" s="96"/>
      <c r="K202" s="97"/>
    </row>
    <row r="203" spans="1:76" ht="14.4" x14ac:dyDescent="0.3">
      <c r="A203" s="2" t="s">
        <v>461</v>
      </c>
      <c r="B203" s="3" t="s">
        <v>462</v>
      </c>
      <c r="C203" s="89" t="s">
        <v>458</v>
      </c>
      <c r="D203" s="90"/>
      <c r="E203" s="3" t="s">
        <v>102</v>
      </c>
      <c r="F203" s="24">
        <v>235</v>
      </c>
      <c r="G203" s="24">
        <v>0</v>
      </c>
      <c r="H203" s="24">
        <f>ROUND(F203*AO203,2)</f>
        <v>0</v>
      </c>
      <c r="I203" s="24">
        <f>ROUND(F203*AP203,2)</f>
        <v>0</v>
      </c>
      <c r="J203" s="24">
        <f>ROUND(F203*G203,2)</f>
        <v>0</v>
      </c>
      <c r="K203" s="25" t="s">
        <v>56</v>
      </c>
      <c r="Z203" s="24">
        <f>ROUND(IF(AQ203="5",BJ203,0),2)</f>
        <v>0</v>
      </c>
      <c r="AB203" s="24">
        <f>ROUND(IF(AQ203="1",BH203,0),2)</f>
        <v>0</v>
      </c>
      <c r="AC203" s="24">
        <f>ROUND(IF(AQ203="1",BI203,0),2)</f>
        <v>0</v>
      </c>
      <c r="AD203" s="24">
        <f>ROUND(IF(AQ203="7",BH203,0),2)</f>
        <v>0</v>
      </c>
      <c r="AE203" s="24">
        <f>ROUND(IF(AQ203="7",BI203,0),2)</f>
        <v>0</v>
      </c>
      <c r="AF203" s="24">
        <f>ROUND(IF(AQ203="2",BH203,0),2)</f>
        <v>0</v>
      </c>
      <c r="AG203" s="24">
        <f>ROUND(IF(AQ203="2",BI203,0),2)</f>
        <v>0</v>
      </c>
      <c r="AH203" s="24">
        <f>ROUND(IF(AQ203="0",BJ203,0),2)</f>
        <v>0</v>
      </c>
      <c r="AI203" s="10" t="s">
        <v>49</v>
      </c>
      <c r="AJ203" s="24">
        <f>IF(AN203=0,J203,0)</f>
        <v>0</v>
      </c>
      <c r="AK203" s="24">
        <f>IF(AN203=12,J203,0)</f>
        <v>0</v>
      </c>
      <c r="AL203" s="24">
        <f>IF(AN203=21,J203,0)</f>
        <v>0</v>
      </c>
      <c r="AN203" s="24">
        <v>12</v>
      </c>
      <c r="AO203" s="24">
        <f>G203*0.060214271</f>
        <v>0</v>
      </c>
      <c r="AP203" s="24">
        <f>G203*(1-0.060214271)</f>
        <v>0</v>
      </c>
      <c r="AQ203" s="26" t="s">
        <v>60</v>
      </c>
      <c r="AV203" s="24">
        <f>ROUND(AW203+AX203,2)</f>
        <v>0</v>
      </c>
      <c r="AW203" s="24">
        <f>ROUND(F203*AO203,2)</f>
        <v>0</v>
      </c>
      <c r="AX203" s="24">
        <f>ROUND(F203*AP203,2)</f>
        <v>0</v>
      </c>
      <c r="AY203" s="26" t="s">
        <v>446</v>
      </c>
      <c r="AZ203" s="26" t="s">
        <v>308</v>
      </c>
      <c r="BA203" s="10" t="s">
        <v>59</v>
      </c>
      <c r="BC203" s="24">
        <f>AW203+AX203</f>
        <v>0</v>
      </c>
      <c r="BD203" s="24">
        <f>G203/(100-BE203)*100</f>
        <v>0</v>
      </c>
      <c r="BE203" s="24">
        <v>0</v>
      </c>
      <c r="BF203" s="24">
        <f>203</f>
        <v>203</v>
      </c>
      <c r="BH203" s="24">
        <f>F203*AO203</f>
        <v>0</v>
      </c>
      <c r="BI203" s="24">
        <f>F203*AP203</f>
        <v>0</v>
      </c>
      <c r="BJ203" s="24">
        <f>F203*G203</f>
        <v>0</v>
      </c>
      <c r="BK203" s="24"/>
      <c r="BL203" s="24"/>
      <c r="BW203" s="24">
        <v>12</v>
      </c>
      <c r="BX203" s="4" t="s">
        <v>458</v>
      </c>
    </row>
    <row r="204" spans="1:76" ht="13.5" customHeight="1" x14ac:dyDescent="0.3">
      <c r="A204" s="27"/>
      <c r="B204" s="28" t="s">
        <v>86</v>
      </c>
      <c r="C204" s="95" t="s">
        <v>463</v>
      </c>
      <c r="D204" s="96"/>
      <c r="E204" s="96"/>
      <c r="F204" s="96"/>
      <c r="G204" s="96"/>
      <c r="H204" s="96"/>
      <c r="I204" s="96"/>
      <c r="J204" s="96"/>
      <c r="K204" s="97"/>
    </row>
    <row r="205" spans="1:76" ht="14.4" x14ac:dyDescent="0.3">
      <c r="A205" s="2" t="s">
        <v>464</v>
      </c>
      <c r="B205" s="3" t="s">
        <v>465</v>
      </c>
      <c r="C205" s="89" t="s">
        <v>466</v>
      </c>
      <c r="D205" s="90"/>
      <c r="E205" s="3" t="s">
        <v>96</v>
      </c>
      <c r="F205" s="24">
        <v>17</v>
      </c>
      <c r="G205" s="24">
        <v>0</v>
      </c>
      <c r="H205" s="24">
        <f>ROUND(F205*AO205,2)</f>
        <v>0</v>
      </c>
      <c r="I205" s="24">
        <f>ROUND(F205*AP205,2)</f>
        <v>0</v>
      </c>
      <c r="J205" s="24">
        <f>ROUND(F205*G205,2)</f>
        <v>0</v>
      </c>
      <c r="K205" s="25" t="s">
        <v>56</v>
      </c>
      <c r="Z205" s="24">
        <f>ROUND(IF(AQ205="5",BJ205,0),2)</f>
        <v>0</v>
      </c>
      <c r="AB205" s="24">
        <f>ROUND(IF(AQ205="1",BH205,0),2)</f>
        <v>0</v>
      </c>
      <c r="AC205" s="24">
        <f>ROUND(IF(AQ205="1",BI205,0),2)</f>
        <v>0</v>
      </c>
      <c r="AD205" s="24">
        <f>ROUND(IF(AQ205="7",BH205,0),2)</f>
        <v>0</v>
      </c>
      <c r="AE205" s="24">
        <f>ROUND(IF(AQ205="7",BI205,0),2)</f>
        <v>0</v>
      </c>
      <c r="AF205" s="24">
        <f>ROUND(IF(AQ205="2",BH205,0),2)</f>
        <v>0</v>
      </c>
      <c r="AG205" s="24">
        <f>ROUND(IF(AQ205="2",BI205,0),2)</f>
        <v>0</v>
      </c>
      <c r="AH205" s="24">
        <f>ROUND(IF(AQ205="0",BJ205,0),2)</f>
        <v>0</v>
      </c>
      <c r="AI205" s="10" t="s">
        <v>49</v>
      </c>
      <c r="AJ205" s="24">
        <f>IF(AN205=0,J205,0)</f>
        <v>0</v>
      </c>
      <c r="AK205" s="24">
        <f>IF(AN205=12,J205,0)</f>
        <v>0</v>
      </c>
      <c r="AL205" s="24">
        <f>IF(AN205=21,J205,0)</f>
        <v>0</v>
      </c>
      <c r="AN205" s="24">
        <v>12</v>
      </c>
      <c r="AO205" s="24">
        <f>G205*0.248135895</f>
        <v>0</v>
      </c>
      <c r="AP205" s="24">
        <f>G205*(1-0.248135895)</f>
        <v>0</v>
      </c>
      <c r="AQ205" s="26" t="s">
        <v>60</v>
      </c>
      <c r="AV205" s="24">
        <f>ROUND(AW205+AX205,2)</f>
        <v>0</v>
      </c>
      <c r="AW205" s="24">
        <f>ROUND(F205*AO205,2)</f>
        <v>0</v>
      </c>
      <c r="AX205" s="24">
        <f>ROUND(F205*AP205,2)</f>
        <v>0</v>
      </c>
      <c r="AY205" s="26" t="s">
        <v>446</v>
      </c>
      <c r="AZ205" s="26" t="s">
        <v>308</v>
      </c>
      <c r="BA205" s="10" t="s">
        <v>59</v>
      </c>
      <c r="BC205" s="24">
        <f>AW205+AX205</f>
        <v>0</v>
      </c>
      <c r="BD205" s="24">
        <f>G205/(100-BE205)*100</f>
        <v>0</v>
      </c>
      <c r="BE205" s="24">
        <v>0</v>
      </c>
      <c r="BF205" s="24">
        <f>205</f>
        <v>205</v>
      </c>
      <c r="BH205" s="24">
        <f>F205*AO205</f>
        <v>0</v>
      </c>
      <c r="BI205" s="24">
        <f>F205*AP205</f>
        <v>0</v>
      </c>
      <c r="BJ205" s="24">
        <f>F205*G205</f>
        <v>0</v>
      </c>
      <c r="BK205" s="24"/>
      <c r="BL205" s="24"/>
      <c r="BW205" s="24">
        <v>12</v>
      </c>
      <c r="BX205" s="4" t="s">
        <v>466</v>
      </c>
    </row>
    <row r="206" spans="1:76" ht="13.5" customHeight="1" x14ac:dyDescent="0.3">
      <c r="A206" s="27"/>
      <c r="B206" s="28" t="s">
        <v>86</v>
      </c>
      <c r="C206" s="95" t="s">
        <v>467</v>
      </c>
      <c r="D206" s="96"/>
      <c r="E206" s="96"/>
      <c r="F206" s="96"/>
      <c r="G206" s="96"/>
      <c r="H206" s="96"/>
      <c r="I206" s="96"/>
      <c r="J206" s="96"/>
      <c r="K206" s="97"/>
    </row>
    <row r="207" spans="1:76" ht="14.4" x14ac:dyDescent="0.3">
      <c r="A207" s="2" t="s">
        <v>468</v>
      </c>
      <c r="B207" s="3" t="s">
        <v>469</v>
      </c>
      <c r="C207" s="89" t="s">
        <v>466</v>
      </c>
      <c r="D207" s="90"/>
      <c r="E207" s="3" t="s">
        <v>96</v>
      </c>
      <c r="F207" s="24">
        <v>25</v>
      </c>
      <c r="G207" s="24">
        <v>0</v>
      </c>
      <c r="H207" s="24">
        <f>ROUND(F207*AO207,2)</f>
        <v>0</v>
      </c>
      <c r="I207" s="24">
        <f>ROUND(F207*AP207,2)</f>
        <v>0</v>
      </c>
      <c r="J207" s="24">
        <f>ROUND(F207*G207,2)</f>
        <v>0</v>
      </c>
      <c r="K207" s="25" t="s">
        <v>56</v>
      </c>
      <c r="Z207" s="24">
        <f>ROUND(IF(AQ207="5",BJ207,0),2)</f>
        <v>0</v>
      </c>
      <c r="AB207" s="24">
        <f>ROUND(IF(AQ207="1",BH207,0),2)</f>
        <v>0</v>
      </c>
      <c r="AC207" s="24">
        <f>ROUND(IF(AQ207="1",BI207,0),2)</f>
        <v>0</v>
      </c>
      <c r="AD207" s="24">
        <f>ROUND(IF(AQ207="7",BH207,0),2)</f>
        <v>0</v>
      </c>
      <c r="AE207" s="24">
        <f>ROUND(IF(AQ207="7",BI207,0),2)</f>
        <v>0</v>
      </c>
      <c r="AF207" s="24">
        <f>ROUND(IF(AQ207="2",BH207,0),2)</f>
        <v>0</v>
      </c>
      <c r="AG207" s="24">
        <f>ROUND(IF(AQ207="2",BI207,0),2)</f>
        <v>0</v>
      </c>
      <c r="AH207" s="24">
        <f>ROUND(IF(AQ207="0",BJ207,0),2)</f>
        <v>0</v>
      </c>
      <c r="AI207" s="10" t="s">
        <v>49</v>
      </c>
      <c r="AJ207" s="24">
        <f>IF(AN207=0,J207,0)</f>
        <v>0</v>
      </c>
      <c r="AK207" s="24">
        <f>IF(AN207=12,J207,0)</f>
        <v>0</v>
      </c>
      <c r="AL207" s="24">
        <f>IF(AN207=21,J207,0)</f>
        <v>0</v>
      </c>
      <c r="AN207" s="24">
        <v>12</v>
      </c>
      <c r="AO207" s="24">
        <f>G207*0.103769689</f>
        <v>0</v>
      </c>
      <c r="AP207" s="24">
        <f>G207*(1-0.103769689)</f>
        <v>0</v>
      </c>
      <c r="AQ207" s="26" t="s">
        <v>60</v>
      </c>
      <c r="AV207" s="24">
        <f>ROUND(AW207+AX207,2)</f>
        <v>0</v>
      </c>
      <c r="AW207" s="24">
        <f>ROUND(F207*AO207,2)</f>
        <v>0</v>
      </c>
      <c r="AX207" s="24">
        <f>ROUND(F207*AP207,2)</f>
        <v>0</v>
      </c>
      <c r="AY207" s="26" t="s">
        <v>446</v>
      </c>
      <c r="AZ207" s="26" t="s">
        <v>308</v>
      </c>
      <c r="BA207" s="10" t="s">
        <v>59</v>
      </c>
      <c r="BC207" s="24">
        <f>AW207+AX207</f>
        <v>0</v>
      </c>
      <c r="BD207" s="24">
        <f>G207/(100-BE207)*100</f>
        <v>0</v>
      </c>
      <c r="BE207" s="24">
        <v>0</v>
      </c>
      <c r="BF207" s="24">
        <f>207</f>
        <v>207</v>
      </c>
      <c r="BH207" s="24">
        <f>F207*AO207</f>
        <v>0</v>
      </c>
      <c r="BI207" s="24">
        <f>F207*AP207</f>
        <v>0</v>
      </c>
      <c r="BJ207" s="24">
        <f>F207*G207</f>
        <v>0</v>
      </c>
      <c r="BK207" s="24"/>
      <c r="BL207" s="24"/>
      <c r="BW207" s="24">
        <v>12</v>
      </c>
      <c r="BX207" s="4" t="s">
        <v>466</v>
      </c>
    </row>
    <row r="208" spans="1:76" ht="13.5" customHeight="1" x14ac:dyDescent="0.3">
      <c r="A208" s="27"/>
      <c r="B208" s="28" t="s">
        <v>86</v>
      </c>
      <c r="C208" s="95" t="s">
        <v>470</v>
      </c>
      <c r="D208" s="96"/>
      <c r="E208" s="96"/>
      <c r="F208" s="96"/>
      <c r="G208" s="96"/>
      <c r="H208" s="96"/>
      <c r="I208" s="96"/>
      <c r="J208" s="96"/>
      <c r="K208" s="97"/>
    </row>
    <row r="209" spans="1:76" ht="14.4" x14ac:dyDescent="0.3">
      <c r="A209" s="2" t="s">
        <v>471</v>
      </c>
      <c r="B209" s="3" t="s">
        <v>472</v>
      </c>
      <c r="C209" s="89" t="s">
        <v>466</v>
      </c>
      <c r="D209" s="90"/>
      <c r="E209" s="3" t="s">
        <v>96</v>
      </c>
      <c r="F209" s="24">
        <v>8</v>
      </c>
      <c r="G209" s="24">
        <v>0</v>
      </c>
      <c r="H209" s="24">
        <f>ROUND(F209*AO209,2)</f>
        <v>0</v>
      </c>
      <c r="I209" s="24">
        <f>ROUND(F209*AP209,2)</f>
        <v>0</v>
      </c>
      <c r="J209" s="24">
        <f>ROUND(F209*G209,2)</f>
        <v>0</v>
      </c>
      <c r="K209" s="25" t="s">
        <v>56</v>
      </c>
      <c r="Z209" s="24">
        <f>ROUND(IF(AQ209="5",BJ209,0),2)</f>
        <v>0</v>
      </c>
      <c r="AB209" s="24">
        <f>ROUND(IF(AQ209="1",BH209,0),2)</f>
        <v>0</v>
      </c>
      <c r="AC209" s="24">
        <f>ROUND(IF(AQ209="1",BI209,0),2)</f>
        <v>0</v>
      </c>
      <c r="AD209" s="24">
        <f>ROUND(IF(AQ209="7",BH209,0),2)</f>
        <v>0</v>
      </c>
      <c r="AE209" s="24">
        <f>ROUND(IF(AQ209="7",BI209,0),2)</f>
        <v>0</v>
      </c>
      <c r="AF209" s="24">
        <f>ROUND(IF(AQ209="2",BH209,0),2)</f>
        <v>0</v>
      </c>
      <c r="AG209" s="24">
        <f>ROUND(IF(AQ209="2",BI209,0),2)</f>
        <v>0</v>
      </c>
      <c r="AH209" s="24">
        <f>ROUND(IF(AQ209="0",BJ209,0),2)</f>
        <v>0</v>
      </c>
      <c r="AI209" s="10" t="s">
        <v>49</v>
      </c>
      <c r="AJ209" s="24">
        <f>IF(AN209=0,J209,0)</f>
        <v>0</v>
      </c>
      <c r="AK209" s="24">
        <f>IF(AN209=12,J209,0)</f>
        <v>0</v>
      </c>
      <c r="AL209" s="24">
        <f>IF(AN209=21,J209,0)</f>
        <v>0</v>
      </c>
      <c r="AN209" s="24">
        <v>12</v>
      </c>
      <c r="AO209" s="24">
        <f>G209*0.279844925</f>
        <v>0</v>
      </c>
      <c r="AP209" s="24">
        <f>G209*(1-0.279844925)</f>
        <v>0</v>
      </c>
      <c r="AQ209" s="26" t="s">
        <v>60</v>
      </c>
      <c r="AV209" s="24">
        <f>ROUND(AW209+AX209,2)</f>
        <v>0</v>
      </c>
      <c r="AW209" s="24">
        <f>ROUND(F209*AO209,2)</f>
        <v>0</v>
      </c>
      <c r="AX209" s="24">
        <f>ROUND(F209*AP209,2)</f>
        <v>0</v>
      </c>
      <c r="AY209" s="26" t="s">
        <v>446</v>
      </c>
      <c r="AZ209" s="26" t="s">
        <v>308</v>
      </c>
      <c r="BA209" s="10" t="s">
        <v>59</v>
      </c>
      <c r="BC209" s="24">
        <f>AW209+AX209</f>
        <v>0</v>
      </c>
      <c r="BD209" s="24">
        <f>G209/(100-BE209)*100</f>
        <v>0</v>
      </c>
      <c r="BE209" s="24">
        <v>0</v>
      </c>
      <c r="BF209" s="24">
        <f>209</f>
        <v>209</v>
      </c>
      <c r="BH209" s="24">
        <f>F209*AO209</f>
        <v>0</v>
      </c>
      <c r="BI209" s="24">
        <f>F209*AP209</f>
        <v>0</v>
      </c>
      <c r="BJ209" s="24">
        <f>F209*G209</f>
        <v>0</v>
      </c>
      <c r="BK209" s="24"/>
      <c r="BL209" s="24"/>
      <c r="BW209" s="24">
        <v>12</v>
      </c>
      <c r="BX209" s="4" t="s">
        <v>466</v>
      </c>
    </row>
    <row r="210" spans="1:76" ht="13.5" customHeight="1" x14ac:dyDescent="0.3">
      <c r="A210" s="27"/>
      <c r="B210" s="28" t="s">
        <v>86</v>
      </c>
      <c r="C210" s="95" t="s">
        <v>473</v>
      </c>
      <c r="D210" s="96"/>
      <c r="E210" s="96"/>
      <c r="F210" s="96"/>
      <c r="G210" s="96"/>
      <c r="H210" s="96"/>
      <c r="I210" s="96"/>
      <c r="J210" s="96"/>
      <c r="K210" s="97"/>
    </row>
    <row r="211" spans="1:76" ht="14.4" x14ac:dyDescent="0.3">
      <c r="A211" s="2" t="s">
        <v>474</v>
      </c>
      <c r="B211" s="3" t="s">
        <v>475</v>
      </c>
      <c r="C211" s="89" t="s">
        <v>476</v>
      </c>
      <c r="D211" s="90"/>
      <c r="E211" s="3" t="s">
        <v>96</v>
      </c>
      <c r="F211" s="24">
        <v>4</v>
      </c>
      <c r="G211" s="24">
        <v>0</v>
      </c>
      <c r="H211" s="24">
        <f>ROUND(F211*AO211,2)</f>
        <v>0</v>
      </c>
      <c r="I211" s="24">
        <f>ROUND(F211*AP211,2)</f>
        <v>0</v>
      </c>
      <c r="J211" s="24">
        <f>ROUND(F211*G211,2)</f>
        <v>0</v>
      </c>
      <c r="K211" s="25" t="s">
        <v>56</v>
      </c>
      <c r="Z211" s="24">
        <f>ROUND(IF(AQ211="5",BJ211,0),2)</f>
        <v>0</v>
      </c>
      <c r="AB211" s="24">
        <f>ROUND(IF(AQ211="1",BH211,0),2)</f>
        <v>0</v>
      </c>
      <c r="AC211" s="24">
        <f>ROUND(IF(AQ211="1",BI211,0),2)</f>
        <v>0</v>
      </c>
      <c r="AD211" s="24">
        <f>ROUND(IF(AQ211="7",BH211,0),2)</f>
        <v>0</v>
      </c>
      <c r="AE211" s="24">
        <f>ROUND(IF(AQ211="7",BI211,0),2)</f>
        <v>0</v>
      </c>
      <c r="AF211" s="24">
        <f>ROUND(IF(AQ211="2",BH211,0),2)</f>
        <v>0</v>
      </c>
      <c r="AG211" s="24">
        <f>ROUND(IF(AQ211="2",BI211,0),2)</f>
        <v>0</v>
      </c>
      <c r="AH211" s="24">
        <f>ROUND(IF(AQ211="0",BJ211,0),2)</f>
        <v>0</v>
      </c>
      <c r="AI211" s="10" t="s">
        <v>49</v>
      </c>
      <c r="AJ211" s="24">
        <f>IF(AN211=0,J211,0)</f>
        <v>0</v>
      </c>
      <c r="AK211" s="24">
        <f>IF(AN211=12,J211,0)</f>
        <v>0</v>
      </c>
      <c r="AL211" s="24">
        <f>IF(AN211=21,J211,0)</f>
        <v>0</v>
      </c>
      <c r="AN211" s="24">
        <v>12</v>
      </c>
      <c r="AO211" s="24">
        <f>G211*0.429294737</f>
        <v>0</v>
      </c>
      <c r="AP211" s="24">
        <f>G211*(1-0.429294737)</f>
        <v>0</v>
      </c>
      <c r="AQ211" s="26" t="s">
        <v>60</v>
      </c>
      <c r="AV211" s="24">
        <f>ROUND(AW211+AX211,2)</f>
        <v>0</v>
      </c>
      <c r="AW211" s="24">
        <f>ROUND(F211*AO211,2)</f>
        <v>0</v>
      </c>
      <c r="AX211" s="24">
        <f>ROUND(F211*AP211,2)</f>
        <v>0</v>
      </c>
      <c r="AY211" s="26" t="s">
        <v>446</v>
      </c>
      <c r="AZ211" s="26" t="s">
        <v>308</v>
      </c>
      <c r="BA211" s="10" t="s">
        <v>59</v>
      </c>
      <c r="BC211" s="24">
        <f>AW211+AX211</f>
        <v>0</v>
      </c>
      <c r="BD211" s="24">
        <f>G211/(100-BE211)*100</f>
        <v>0</v>
      </c>
      <c r="BE211" s="24">
        <v>0</v>
      </c>
      <c r="BF211" s="24">
        <f>211</f>
        <v>211</v>
      </c>
      <c r="BH211" s="24">
        <f>F211*AO211</f>
        <v>0</v>
      </c>
      <c r="BI211" s="24">
        <f>F211*AP211</f>
        <v>0</v>
      </c>
      <c r="BJ211" s="24">
        <f>F211*G211</f>
        <v>0</v>
      </c>
      <c r="BK211" s="24"/>
      <c r="BL211" s="24"/>
      <c r="BW211" s="24">
        <v>12</v>
      </c>
      <c r="BX211" s="4" t="s">
        <v>476</v>
      </c>
    </row>
    <row r="212" spans="1:76" ht="13.5" customHeight="1" x14ac:dyDescent="0.3">
      <c r="A212" s="27"/>
      <c r="B212" s="28" t="s">
        <v>86</v>
      </c>
      <c r="C212" s="95" t="s">
        <v>477</v>
      </c>
      <c r="D212" s="96"/>
      <c r="E212" s="96"/>
      <c r="F212" s="96"/>
      <c r="G212" s="96"/>
      <c r="H212" s="96"/>
      <c r="I212" s="96"/>
      <c r="J212" s="96"/>
      <c r="K212" s="97"/>
    </row>
    <row r="213" spans="1:76" ht="14.4" x14ac:dyDescent="0.3">
      <c r="A213" s="2" t="s">
        <v>478</v>
      </c>
      <c r="B213" s="3" t="s">
        <v>479</v>
      </c>
      <c r="C213" s="89" t="s">
        <v>480</v>
      </c>
      <c r="D213" s="90"/>
      <c r="E213" s="3" t="s">
        <v>96</v>
      </c>
      <c r="F213" s="24">
        <v>8</v>
      </c>
      <c r="G213" s="24">
        <v>0</v>
      </c>
      <c r="H213" s="24">
        <f>ROUND(F213*AO213,2)</f>
        <v>0</v>
      </c>
      <c r="I213" s="24">
        <f>ROUND(F213*AP213,2)</f>
        <v>0</v>
      </c>
      <c r="J213" s="24">
        <f>ROUND(F213*G213,2)</f>
        <v>0</v>
      </c>
      <c r="K213" s="25" t="s">
        <v>56</v>
      </c>
      <c r="Z213" s="24">
        <f>ROUND(IF(AQ213="5",BJ213,0),2)</f>
        <v>0</v>
      </c>
      <c r="AB213" s="24">
        <f>ROUND(IF(AQ213="1",BH213,0),2)</f>
        <v>0</v>
      </c>
      <c r="AC213" s="24">
        <f>ROUND(IF(AQ213="1",BI213,0),2)</f>
        <v>0</v>
      </c>
      <c r="AD213" s="24">
        <f>ROUND(IF(AQ213="7",BH213,0),2)</f>
        <v>0</v>
      </c>
      <c r="AE213" s="24">
        <f>ROUND(IF(AQ213="7",BI213,0),2)</f>
        <v>0</v>
      </c>
      <c r="AF213" s="24">
        <f>ROUND(IF(AQ213="2",BH213,0),2)</f>
        <v>0</v>
      </c>
      <c r="AG213" s="24">
        <f>ROUND(IF(AQ213="2",BI213,0),2)</f>
        <v>0</v>
      </c>
      <c r="AH213" s="24">
        <f>ROUND(IF(AQ213="0",BJ213,0),2)</f>
        <v>0</v>
      </c>
      <c r="AI213" s="10" t="s">
        <v>49</v>
      </c>
      <c r="AJ213" s="24">
        <f>IF(AN213=0,J213,0)</f>
        <v>0</v>
      </c>
      <c r="AK213" s="24">
        <f>IF(AN213=12,J213,0)</f>
        <v>0</v>
      </c>
      <c r="AL213" s="24">
        <f>IF(AN213=21,J213,0)</f>
        <v>0</v>
      </c>
      <c r="AN213" s="24">
        <v>12</v>
      </c>
      <c r="AO213" s="24">
        <f>G213*0.055455925</f>
        <v>0</v>
      </c>
      <c r="AP213" s="24">
        <f>G213*(1-0.055455925)</f>
        <v>0</v>
      </c>
      <c r="AQ213" s="26" t="s">
        <v>60</v>
      </c>
      <c r="AV213" s="24">
        <f>ROUND(AW213+AX213,2)</f>
        <v>0</v>
      </c>
      <c r="AW213" s="24">
        <f>ROUND(F213*AO213,2)</f>
        <v>0</v>
      </c>
      <c r="AX213" s="24">
        <f>ROUND(F213*AP213,2)</f>
        <v>0</v>
      </c>
      <c r="AY213" s="26" t="s">
        <v>446</v>
      </c>
      <c r="AZ213" s="26" t="s">
        <v>308</v>
      </c>
      <c r="BA213" s="10" t="s">
        <v>59</v>
      </c>
      <c r="BC213" s="24">
        <f>AW213+AX213</f>
        <v>0</v>
      </c>
      <c r="BD213" s="24">
        <f>G213/(100-BE213)*100</f>
        <v>0</v>
      </c>
      <c r="BE213" s="24">
        <v>0</v>
      </c>
      <c r="BF213" s="24">
        <f>213</f>
        <v>213</v>
      </c>
      <c r="BH213" s="24">
        <f>F213*AO213</f>
        <v>0</v>
      </c>
      <c r="BI213" s="24">
        <f>F213*AP213</f>
        <v>0</v>
      </c>
      <c r="BJ213" s="24">
        <f>F213*G213</f>
        <v>0</v>
      </c>
      <c r="BK213" s="24"/>
      <c r="BL213" s="24"/>
      <c r="BW213" s="24">
        <v>12</v>
      </c>
      <c r="BX213" s="4" t="s">
        <v>480</v>
      </c>
    </row>
    <row r="214" spans="1:76" ht="13.5" customHeight="1" x14ac:dyDescent="0.3">
      <c r="A214" s="27"/>
      <c r="B214" s="28" t="s">
        <v>86</v>
      </c>
      <c r="C214" s="95" t="s">
        <v>481</v>
      </c>
      <c r="D214" s="96"/>
      <c r="E214" s="96"/>
      <c r="F214" s="96"/>
      <c r="G214" s="96"/>
      <c r="H214" s="96"/>
      <c r="I214" s="96"/>
      <c r="J214" s="96"/>
      <c r="K214" s="97"/>
    </row>
    <row r="215" spans="1:76" ht="14.4" x14ac:dyDescent="0.3">
      <c r="A215" s="2" t="s">
        <v>482</v>
      </c>
      <c r="B215" s="3" t="s">
        <v>483</v>
      </c>
      <c r="C215" s="89" t="s">
        <v>484</v>
      </c>
      <c r="D215" s="90"/>
      <c r="E215" s="3" t="s">
        <v>96</v>
      </c>
      <c r="F215" s="24">
        <v>26</v>
      </c>
      <c r="G215" s="24">
        <v>0</v>
      </c>
      <c r="H215" s="24">
        <f t="shared" ref="H215:H226" si="22">ROUND(F215*AO215,2)</f>
        <v>0</v>
      </c>
      <c r="I215" s="24">
        <f t="shared" ref="I215:I226" si="23">ROUND(F215*AP215,2)</f>
        <v>0</v>
      </c>
      <c r="J215" s="24">
        <f t="shared" ref="J215:J226" si="24">ROUND(F215*G215,2)</f>
        <v>0</v>
      </c>
      <c r="K215" s="25" t="s">
        <v>56</v>
      </c>
      <c r="Z215" s="24">
        <f t="shared" ref="Z215:Z226" si="25">ROUND(IF(AQ215="5",BJ215,0),2)</f>
        <v>0</v>
      </c>
      <c r="AB215" s="24">
        <f t="shared" ref="AB215:AB226" si="26">ROUND(IF(AQ215="1",BH215,0),2)</f>
        <v>0</v>
      </c>
      <c r="AC215" s="24">
        <f t="shared" ref="AC215:AC226" si="27">ROUND(IF(AQ215="1",BI215,0),2)</f>
        <v>0</v>
      </c>
      <c r="AD215" s="24">
        <f t="shared" ref="AD215:AD226" si="28">ROUND(IF(AQ215="7",BH215,0),2)</f>
        <v>0</v>
      </c>
      <c r="AE215" s="24">
        <f t="shared" ref="AE215:AE226" si="29">ROUND(IF(AQ215="7",BI215,0),2)</f>
        <v>0</v>
      </c>
      <c r="AF215" s="24">
        <f t="shared" ref="AF215:AF226" si="30">ROUND(IF(AQ215="2",BH215,0),2)</f>
        <v>0</v>
      </c>
      <c r="AG215" s="24">
        <f t="shared" ref="AG215:AG226" si="31">ROUND(IF(AQ215="2",BI215,0),2)</f>
        <v>0</v>
      </c>
      <c r="AH215" s="24">
        <f t="shared" ref="AH215:AH226" si="32">ROUND(IF(AQ215="0",BJ215,0),2)</f>
        <v>0</v>
      </c>
      <c r="AI215" s="10" t="s">
        <v>49</v>
      </c>
      <c r="AJ215" s="24">
        <f t="shared" ref="AJ215:AJ226" si="33">IF(AN215=0,J215,0)</f>
        <v>0</v>
      </c>
      <c r="AK215" s="24">
        <f t="shared" ref="AK215:AK226" si="34">IF(AN215=12,J215,0)</f>
        <v>0</v>
      </c>
      <c r="AL215" s="24">
        <f t="shared" ref="AL215:AL226" si="35">IF(AN215=21,J215,0)</f>
        <v>0</v>
      </c>
      <c r="AN215" s="24">
        <v>12</v>
      </c>
      <c r="AO215" s="24">
        <f>G215*0</f>
        <v>0</v>
      </c>
      <c r="AP215" s="24">
        <f>G215*(1-0)</f>
        <v>0</v>
      </c>
      <c r="AQ215" s="26" t="s">
        <v>60</v>
      </c>
      <c r="AV215" s="24">
        <f t="shared" ref="AV215:AV226" si="36">ROUND(AW215+AX215,2)</f>
        <v>0</v>
      </c>
      <c r="AW215" s="24">
        <f t="shared" ref="AW215:AW226" si="37">ROUND(F215*AO215,2)</f>
        <v>0</v>
      </c>
      <c r="AX215" s="24">
        <f t="shared" ref="AX215:AX226" si="38">ROUND(F215*AP215,2)</f>
        <v>0</v>
      </c>
      <c r="AY215" s="26" t="s">
        <v>446</v>
      </c>
      <c r="AZ215" s="26" t="s">
        <v>308</v>
      </c>
      <c r="BA215" s="10" t="s">
        <v>59</v>
      </c>
      <c r="BC215" s="24">
        <f t="shared" ref="BC215:BC226" si="39">AW215+AX215</f>
        <v>0</v>
      </c>
      <c r="BD215" s="24">
        <f t="shared" ref="BD215:BD226" si="40">G215/(100-BE215)*100</f>
        <v>0</v>
      </c>
      <c r="BE215" s="24">
        <v>0</v>
      </c>
      <c r="BF215" s="24">
        <f>215</f>
        <v>215</v>
      </c>
      <c r="BH215" s="24">
        <f t="shared" ref="BH215:BH226" si="41">F215*AO215</f>
        <v>0</v>
      </c>
      <c r="BI215" s="24">
        <f t="shared" ref="BI215:BI226" si="42">F215*AP215</f>
        <v>0</v>
      </c>
      <c r="BJ215" s="24">
        <f t="shared" ref="BJ215:BJ226" si="43">F215*G215</f>
        <v>0</v>
      </c>
      <c r="BK215" s="24"/>
      <c r="BL215" s="24"/>
      <c r="BW215" s="24">
        <v>12</v>
      </c>
      <c r="BX215" s="4" t="s">
        <v>484</v>
      </c>
    </row>
    <row r="216" spans="1:76" ht="14.4" x14ac:dyDescent="0.3">
      <c r="A216" s="2" t="s">
        <v>485</v>
      </c>
      <c r="B216" s="3" t="s">
        <v>486</v>
      </c>
      <c r="C216" s="89" t="s">
        <v>487</v>
      </c>
      <c r="D216" s="90"/>
      <c r="E216" s="3" t="s">
        <v>96</v>
      </c>
      <c r="F216" s="24">
        <v>20</v>
      </c>
      <c r="G216" s="24">
        <v>0</v>
      </c>
      <c r="H216" s="24">
        <f t="shared" si="22"/>
        <v>0</v>
      </c>
      <c r="I216" s="24">
        <f t="shared" si="23"/>
        <v>0</v>
      </c>
      <c r="J216" s="24">
        <f t="shared" si="24"/>
        <v>0</v>
      </c>
      <c r="K216" s="25" t="s">
        <v>56</v>
      </c>
      <c r="Z216" s="24">
        <f t="shared" si="25"/>
        <v>0</v>
      </c>
      <c r="AB216" s="24">
        <f t="shared" si="26"/>
        <v>0</v>
      </c>
      <c r="AC216" s="24">
        <f t="shared" si="27"/>
        <v>0</v>
      </c>
      <c r="AD216" s="24">
        <f t="shared" si="28"/>
        <v>0</v>
      </c>
      <c r="AE216" s="24">
        <f t="shared" si="29"/>
        <v>0</v>
      </c>
      <c r="AF216" s="24">
        <f t="shared" si="30"/>
        <v>0</v>
      </c>
      <c r="AG216" s="24">
        <f t="shared" si="31"/>
        <v>0</v>
      </c>
      <c r="AH216" s="24">
        <f t="shared" si="32"/>
        <v>0</v>
      </c>
      <c r="AI216" s="10" t="s">
        <v>49</v>
      </c>
      <c r="AJ216" s="24">
        <f t="shared" si="33"/>
        <v>0</v>
      </c>
      <c r="AK216" s="24">
        <f t="shared" si="34"/>
        <v>0</v>
      </c>
      <c r="AL216" s="24">
        <f t="shared" si="35"/>
        <v>0</v>
      </c>
      <c r="AN216" s="24">
        <v>12</v>
      </c>
      <c r="AO216" s="24">
        <f>G216*0.356703567</f>
        <v>0</v>
      </c>
      <c r="AP216" s="24">
        <f>G216*(1-0.356703567)</f>
        <v>0</v>
      </c>
      <c r="AQ216" s="26" t="s">
        <v>60</v>
      </c>
      <c r="AV216" s="24">
        <f t="shared" si="36"/>
        <v>0</v>
      </c>
      <c r="AW216" s="24">
        <f t="shared" si="37"/>
        <v>0</v>
      </c>
      <c r="AX216" s="24">
        <f t="shared" si="38"/>
        <v>0</v>
      </c>
      <c r="AY216" s="26" t="s">
        <v>446</v>
      </c>
      <c r="AZ216" s="26" t="s">
        <v>308</v>
      </c>
      <c r="BA216" s="10" t="s">
        <v>59</v>
      </c>
      <c r="BC216" s="24">
        <f t="shared" si="39"/>
        <v>0</v>
      </c>
      <c r="BD216" s="24">
        <f t="shared" si="40"/>
        <v>0</v>
      </c>
      <c r="BE216" s="24">
        <v>0</v>
      </c>
      <c r="BF216" s="24">
        <f>216</f>
        <v>216</v>
      </c>
      <c r="BH216" s="24">
        <f t="shared" si="41"/>
        <v>0</v>
      </c>
      <c r="BI216" s="24">
        <f t="shared" si="42"/>
        <v>0</v>
      </c>
      <c r="BJ216" s="24">
        <f t="shared" si="43"/>
        <v>0</v>
      </c>
      <c r="BK216" s="24"/>
      <c r="BL216" s="24"/>
      <c r="BW216" s="24">
        <v>12</v>
      </c>
      <c r="BX216" s="4" t="s">
        <v>487</v>
      </c>
    </row>
    <row r="217" spans="1:76" ht="14.4" x14ac:dyDescent="0.3">
      <c r="A217" s="2" t="s">
        <v>488</v>
      </c>
      <c r="B217" s="3" t="s">
        <v>489</v>
      </c>
      <c r="C217" s="89" t="s">
        <v>490</v>
      </c>
      <c r="D217" s="90"/>
      <c r="E217" s="3" t="s">
        <v>96</v>
      </c>
      <c r="F217" s="24">
        <v>3</v>
      </c>
      <c r="G217" s="24">
        <v>0</v>
      </c>
      <c r="H217" s="24">
        <f t="shared" si="22"/>
        <v>0</v>
      </c>
      <c r="I217" s="24">
        <f t="shared" si="23"/>
        <v>0</v>
      </c>
      <c r="J217" s="24">
        <f t="shared" si="24"/>
        <v>0</v>
      </c>
      <c r="K217" s="25" t="s">
        <v>56</v>
      </c>
      <c r="Z217" s="24">
        <f t="shared" si="25"/>
        <v>0</v>
      </c>
      <c r="AB217" s="24">
        <f t="shared" si="26"/>
        <v>0</v>
      </c>
      <c r="AC217" s="24">
        <f t="shared" si="27"/>
        <v>0</v>
      </c>
      <c r="AD217" s="24">
        <f t="shared" si="28"/>
        <v>0</v>
      </c>
      <c r="AE217" s="24">
        <f t="shared" si="29"/>
        <v>0</v>
      </c>
      <c r="AF217" s="24">
        <f t="shared" si="30"/>
        <v>0</v>
      </c>
      <c r="AG217" s="24">
        <f t="shared" si="31"/>
        <v>0</v>
      </c>
      <c r="AH217" s="24">
        <f t="shared" si="32"/>
        <v>0</v>
      </c>
      <c r="AI217" s="10" t="s">
        <v>49</v>
      </c>
      <c r="AJ217" s="24">
        <f t="shared" si="33"/>
        <v>0</v>
      </c>
      <c r="AK217" s="24">
        <f t="shared" si="34"/>
        <v>0</v>
      </c>
      <c r="AL217" s="24">
        <f t="shared" si="35"/>
        <v>0</v>
      </c>
      <c r="AN217" s="24">
        <v>12</v>
      </c>
      <c r="AO217" s="24">
        <f>G217*0</f>
        <v>0</v>
      </c>
      <c r="AP217" s="24">
        <f>G217*(1-0)</f>
        <v>0</v>
      </c>
      <c r="AQ217" s="26" t="s">
        <v>60</v>
      </c>
      <c r="AV217" s="24">
        <f t="shared" si="36"/>
        <v>0</v>
      </c>
      <c r="AW217" s="24">
        <f t="shared" si="37"/>
        <v>0</v>
      </c>
      <c r="AX217" s="24">
        <f t="shared" si="38"/>
        <v>0</v>
      </c>
      <c r="AY217" s="26" t="s">
        <v>446</v>
      </c>
      <c r="AZ217" s="26" t="s">
        <v>308</v>
      </c>
      <c r="BA217" s="10" t="s">
        <v>59</v>
      </c>
      <c r="BC217" s="24">
        <f t="shared" si="39"/>
        <v>0</v>
      </c>
      <c r="BD217" s="24">
        <f t="shared" si="40"/>
        <v>0</v>
      </c>
      <c r="BE217" s="24">
        <v>0</v>
      </c>
      <c r="BF217" s="24">
        <f>217</f>
        <v>217</v>
      </c>
      <c r="BH217" s="24">
        <f t="shared" si="41"/>
        <v>0</v>
      </c>
      <c r="BI217" s="24">
        <f t="shared" si="42"/>
        <v>0</v>
      </c>
      <c r="BJ217" s="24">
        <f t="shared" si="43"/>
        <v>0</v>
      </c>
      <c r="BK217" s="24"/>
      <c r="BL217" s="24"/>
      <c r="BW217" s="24">
        <v>12</v>
      </c>
      <c r="BX217" s="4" t="s">
        <v>490</v>
      </c>
    </row>
    <row r="218" spans="1:76" ht="14.4" x14ac:dyDescent="0.3">
      <c r="A218" s="2" t="s">
        <v>491</v>
      </c>
      <c r="B218" s="3" t="s">
        <v>492</v>
      </c>
      <c r="C218" s="89" t="s">
        <v>493</v>
      </c>
      <c r="D218" s="90"/>
      <c r="E218" s="3" t="s">
        <v>96</v>
      </c>
      <c r="F218" s="24">
        <v>8</v>
      </c>
      <c r="G218" s="24">
        <v>0</v>
      </c>
      <c r="H218" s="24">
        <f t="shared" si="22"/>
        <v>0</v>
      </c>
      <c r="I218" s="24">
        <f t="shared" si="23"/>
        <v>0</v>
      </c>
      <c r="J218" s="24">
        <f t="shared" si="24"/>
        <v>0</v>
      </c>
      <c r="K218" s="25" t="s">
        <v>56</v>
      </c>
      <c r="Z218" s="24">
        <f t="shared" si="25"/>
        <v>0</v>
      </c>
      <c r="AB218" s="24">
        <f t="shared" si="26"/>
        <v>0</v>
      </c>
      <c r="AC218" s="24">
        <f t="shared" si="27"/>
        <v>0</v>
      </c>
      <c r="AD218" s="24">
        <f t="shared" si="28"/>
        <v>0</v>
      </c>
      <c r="AE218" s="24">
        <f t="shared" si="29"/>
        <v>0</v>
      </c>
      <c r="AF218" s="24">
        <f t="shared" si="30"/>
        <v>0</v>
      </c>
      <c r="AG218" s="24">
        <f t="shared" si="31"/>
        <v>0</v>
      </c>
      <c r="AH218" s="24">
        <f t="shared" si="32"/>
        <v>0</v>
      </c>
      <c r="AI218" s="10" t="s">
        <v>49</v>
      </c>
      <c r="AJ218" s="24">
        <f t="shared" si="33"/>
        <v>0</v>
      </c>
      <c r="AK218" s="24">
        <f t="shared" si="34"/>
        <v>0</v>
      </c>
      <c r="AL218" s="24">
        <f t="shared" si="35"/>
        <v>0</v>
      </c>
      <c r="AN218" s="24">
        <v>12</v>
      </c>
      <c r="AO218" s="24">
        <f>G218*0</f>
        <v>0</v>
      </c>
      <c r="AP218" s="24">
        <f>G218*(1-0)</f>
        <v>0</v>
      </c>
      <c r="AQ218" s="26" t="s">
        <v>60</v>
      </c>
      <c r="AV218" s="24">
        <f t="shared" si="36"/>
        <v>0</v>
      </c>
      <c r="AW218" s="24">
        <f t="shared" si="37"/>
        <v>0</v>
      </c>
      <c r="AX218" s="24">
        <f t="shared" si="38"/>
        <v>0</v>
      </c>
      <c r="AY218" s="26" t="s">
        <v>446</v>
      </c>
      <c r="AZ218" s="26" t="s">
        <v>308</v>
      </c>
      <c r="BA218" s="10" t="s">
        <v>59</v>
      </c>
      <c r="BC218" s="24">
        <f t="shared" si="39"/>
        <v>0</v>
      </c>
      <c r="BD218" s="24">
        <f t="shared" si="40"/>
        <v>0</v>
      </c>
      <c r="BE218" s="24">
        <v>0</v>
      </c>
      <c r="BF218" s="24">
        <f>218</f>
        <v>218</v>
      </c>
      <c r="BH218" s="24">
        <f t="shared" si="41"/>
        <v>0</v>
      </c>
      <c r="BI218" s="24">
        <f t="shared" si="42"/>
        <v>0</v>
      </c>
      <c r="BJ218" s="24">
        <f t="shared" si="43"/>
        <v>0</v>
      </c>
      <c r="BK218" s="24"/>
      <c r="BL218" s="24"/>
      <c r="BW218" s="24">
        <v>12</v>
      </c>
      <c r="BX218" s="4" t="s">
        <v>493</v>
      </c>
    </row>
    <row r="219" spans="1:76" ht="14.4" x14ac:dyDescent="0.3">
      <c r="A219" s="2" t="s">
        <v>494</v>
      </c>
      <c r="B219" s="3" t="s">
        <v>495</v>
      </c>
      <c r="C219" s="89" t="s">
        <v>496</v>
      </c>
      <c r="D219" s="90"/>
      <c r="E219" s="3" t="s">
        <v>96</v>
      </c>
      <c r="F219" s="24">
        <v>8</v>
      </c>
      <c r="G219" s="24">
        <v>0</v>
      </c>
      <c r="H219" s="24">
        <f t="shared" si="22"/>
        <v>0</v>
      </c>
      <c r="I219" s="24">
        <f t="shared" si="23"/>
        <v>0</v>
      </c>
      <c r="J219" s="24">
        <f t="shared" si="24"/>
        <v>0</v>
      </c>
      <c r="K219" s="25" t="s">
        <v>56</v>
      </c>
      <c r="Z219" s="24">
        <f t="shared" si="25"/>
        <v>0</v>
      </c>
      <c r="AB219" s="24">
        <f t="shared" si="26"/>
        <v>0</v>
      </c>
      <c r="AC219" s="24">
        <f t="shared" si="27"/>
        <v>0</v>
      </c>
      <c r="AD219" s="24">
        <f t="shared" si="28"/>
        <v>0</v>
      </c>
      <c r="AE219" s="24">
        <f t="shared" si="29"/>
        <v>0</v>
      </c>
      <c r="AF219" s="24">
        <f t="shared" si="30"/>
        <v>0</v>
      </c>
      <c r="AG219" s="24">
        <f t="shared" si="31"/>
        <v>0</v>
      </c>
      <c r="AH219" s="24">
        <f t="shared" si="32"/>
        <v>0</v>
      </c>
      <c r="AI219" s="10" t="s">
        <v>49</v>
      </c>
      <c r="AJ219" s="24">
        <f t="shared" si="33"/>
        <v>0</v>
      </c>
      <c r="AK219" s="24">
        <f t="shared" si="34"/>
        <v>0</v>
      </c>
      <c r="AL219" s="24">
        <f t="shared" si="35"/>
        <v>0</v>
      </c>
      <c r="AN219" s="24">
        <v>12</v>
      </c>
      <c r="AO219" s="24">
        <f>G219*0</f>
        <v>0</v>
      </c>
      <c r="AP219" s="24">
        <f>G219*(1-0)</f>
        <v>0</v>
      </c>
      <c r="AQ219" s="26" t="s">
        <v>60</v>
      </c>
      <c r="AV219" s="24">
        <f t="shared" si="36"/>
        <v>0</v>
      </c>
      <c r="AW219" s="24">
        <f t="shared" si="37"/>
        <v>0</v>
      </c>
      <c r="AX219" s="24">
        <f t="shared" si="38"/>
        <v>0</v>
      </c>
      <c r="AY219" s="26" t="s">
        <v>446</v>
      </c>
      <c r="AZ219" s="26" t="s">
        <v>308</v>
      </c>
      <c r="BA219" s="10" t="s">
        <v>59</v>
      </c>
      <c r="BC219" s="24">
        <f t="shared" si="39"/>
        <v>0</v>
      </c>
      <c r="BD219" s="24">
        <f t="shared" si="40"/>
        <v>0</v>
      </c>
      <c r="BE219" s="24">
        <v>0</v>
      </c>
      <c r="BF219" s="24">
        <f>219</f>
        <v>219</v>
      </c>
      <c r="BH219" s="24">
        <f t="shared" si="41"/>
        <v>0</v>
      </c>
      <c r="BI219" s="24">
        <f t="shared" si="42"/>
        <v>0</v>
      </c>
      <c r="BJ219" s="24">
        <f t="shared" si="43"/>
        <v>0</v>
      </c>
      <c r="BK219" s="24"/>
      <c r="BL219" s="24"/>
      <c r="BW219" s="24">
        <v>12</v>
      </c>
      <c r="BX219" s="4" t="s">
        <v>496</v>
      </c>
    </row>
    <row r="220" spans="1:76" ht="14.4" x14ac:dyDescent="0.3">
      <c r="A220" s="2" t="s">
        <v>497</v>
      </c>
      <c r="B220" s="3" t="s">
        <v>498</v>
      </c>
      <c r="C220" s="89" t="s">
        <v>499</v>
      </c>
      <c r="D220" s="90"/>
      <c r="E220" s="3" t="s">
        <v>96</v>
      </c>
      <c r="F220" s="24">
        <v>1</v>
      </c>
      <c r="G220" s="24">
        <v>0</v>
      </c>
      <c r="H220" s="24">
        <f t="shared" si="22"/>
        <v>0</v>
      </c>
      <c r="I220" s="24">
        <f t="shared" si="23"/>
        <v>0</v>
      </c>
      <c r="J220" s="24">
        <f t="shared" si="24"/>
        <v>0</v>
      </c>
      <c r="K220" s="25" t="s">
        <v>56</v>
      </c>
      <c r="Z220" s="24">
        <f t="shared" si="25"/>
        <v>0</v>
      </c>
      <c r="AB220" s="24">
        <f t="shared" si="26"/>
        <v>0</v>
      </c>
      <c r="AC220" s="24">
        <f t="shared" si="27"/>
        <v>0</v>
      </c>
      <c r="AD220" s="24">
        <f t="shared" si="28"/>
        <v>0</v>
      </c>
      <c r="AE220" s="24">
        <f t="shared" si="29"/>
        <v>0</v>
      </c>
      <c r="AF220" s="24">
        <f t="shared" si="30"/>
        <v>0</v>
      </c>
      <c r="AG220" s="24">
        <f t="shared" si="31"/>
        <v>0</v>
      </c>
      <c r="AH220" s="24">
        <f t="shared" si="32"/>
        <v>0</v>
      </c>
      <c r="AI220" s="10" t="s">
        <v>49</v>
      </c>
      <c r="AJ220" s="24">
        <f t="shared" si="33"/>
        <v>0</v>
      </c>
      <c r="AK220" s="24">
        <f t="shared" si="34"/>
        <v>0</v>
      </c>
      <c r="AL220" s="24">
        <f t="shared" si="35"/>
        <v>0</v>
      </c>
      <c r="AN220" s="24">
        <v>12</v>
      </c>
      <c r="AO220" s="24">
        <f>G220*0.176949914</f>
        <v>0</v>
      </c>
      <c r="AP220" s="24">
        <f>G220*(1-0.176949914)</f>
        <v>0</v>
      </c>
      <c r="AQ220" s="26" t="s">
        <v>60</v>
      </c>
      <c r="AV220" s="24">
        <f t="shared" si="36"/>
        <v>0</v>
      </c>
      <c r="AW220" s="24">
        <f t="shared" si="37"/>
        <v>0</v>
      </c>
      <c r="AX220" s="24">
        <f t="shared" si="38"/>
        <v>0</v>
      </c>
      <c r="AY220" s="26" t="s">
        <v>446</v>
      </c>
      <c r="AZ220" s="26" t="s">
        <v>308</v>
      </c>
      <c r="BA220" s="10" t="s">
        <v>59</v>
      </c>
      <c r="BC220" s="24">
        <f t="shared" si="39"/>
        <v>0</v>
      </c>
      <c r="BD220" s="24">
        <f t="shared" si="40"/>
        <v>0</v>
      </c>
      <c r="BE220" s="24">
        <v>0</v>
      </c>
      <c r="BF220" s="24">
        <f>220</f>
        <v>220</v>
      </c>
      <c r="BH220" s="24">
        <f t="shared" si="41"/>
        <v>0</v>
      </c>
      <c r="BI220" s="24">
        <f t="shared" si="42"/>
        <v>0</v>
      </c>
      <c r="BJ220" s="24">
        <f t="shared" si="43"/>
        <v>0</v>
      </c>
      <c r="BK220" s="24"/>
      <c r="BL220" s="24"/>
      <c r="BW220" s="24">
        <v>12</v>
      </c>
      <c r="BX220" s="4" t="s">
        <v>499</v>
      </c>
    </row>
    <row r="221" spans="1:76" ht="14.4" x14ac:dyDescent="0.3">
      <c r="A221" s="2" t="s">
        <v>500</v>
      </c>
      <c r="B221" s="3" t="s">
        <v>501</v>
      </c>
      <c r="C221" s="89" t="s">
        <v>502</v>
      </c>
      <c r="D221" s="90"/>
      <c r="E221" s="3" t="s">
        <v>102</v>
      </c>
      <c r="F221" s="24">
        <v>35</v>
      </c>
      <c r="G221" s="24">
        <v>0</v>
      </c>
      <c r="H221" s="24">
        <f t="shared" si="22"/>
        <v>0</v>
      </c>
      <c r="I221" s="24">
        <f t="shared" si="23"/>
        <v>0</v>
      </c>
      <c r="J221" s="24">
        <f t="shared" si="24"/>
        <v>0</v>
      </c>
      <c r="K221" s="25" t="s">
        <v>56</v>
      </c>
      <c r="Z221" s="24">
        <f t="shared" si="25"/>
        <v>0</v>
      </c>
      <c r="AB221" s="24">
        <f t="shared" si="26"/>
        <v>0</v>
      </c>
      <c r="AC221" s="24">
        <f t="shared" si="27"/>
        <v>0</v>
      </c>
      <c r="AD221" s="24">
        <f t="shared" si="28"/>
        <v>0</v>
      </c>
      <c r="AE221" s="24">
        <f t="shared" si="29"/>
        <v>0</v>
      </c>
      <c r="AF221" s="24">
        <f t="shared" si="30"/>
        <v>0</v>
      </c>
      <c r="AG221" s="24">
        <f t="shared" si="31"/>
        <v>0</v>
      </c>
      <c r="AH221" s="24">
        <f t="shared" si="32"/>
        <v>0</v>
      </c>
      <c r="AI221" s="10" t="s">
        <v>49</v>
      </c>
      <c r="AJ221" s="24">
        <f t="shared" si="33"/>
        <v>0</v>
      </c>
      <c r="AK221" s="24">
        <f t="shared" si="34"/>
        <v>0</v>
      </c>
      <c r="AL221" s="24">
        <f t="shared" si="35"/>
        <v>0</v>
      </c>
      <c r="AN221" s="24">
        <v>12</v>
      </c>
      <c r="AO221" s="24">
        <f t="shared" ref="AO221:AO226" si="44">G221*0</f>
        <v>0</v>
      </c>
      <c r="AP221" s="24">
        <f t="shared" ref="AP221:AP226" si="45">G221*(1-0)</f>
        <v>0</v>
      </c>
      <c r="AQ221" s="26" t="s">
        <v>60</v>
      </c>
      <c r="AV221" s="24">
        <f t="shared" si="36"/>
        <v>0</v>
      </c>
      <c r="AW221" s="24">
        <f t="shared" si="37"/>
        <v>0</v>
      </c>
      <c r="AX221" s="24">
        <f t="shared" si="38"/>
        <v>0</v>
      </c>
      <c r="AY221" s="26" t="s">
        <v>446</v>
      </c>
      <c r="AZ221" s="26" t="s">
        <v>308</v>
      </c>
      <c r="BA221" s="10" t="s">
        <v>59</v>
      </c>
      <c r="BC221" s="24">
        <f t="shared" si="39"/>
        <v>0</v>
      </c>
      <c r="BD221" s="24">
        <f t="shared" si="40"/>
        <v>0</v>
      </c>
      <c r="BE221" s="24">
        <v>0</v>
      </c>
      <c r="BF221" s="24">
        <f>221</f>
        <v>221</v>
      </c>
      <c r="BH221" s="24">
        <f t="shared" si="41"/>
        <v>0</v>
      </c>
      <c r="BI221" s="24">
        <f t="shared" si="42"/>
        <v>0</v>
      </c>
      <c r="BJ221" s="24">
        <f t="shared" si="43"/>
        <v>0</v>
      </c>
      <c r="BK221" s="24"/>
      <c r="BL221" s="24"/>
      <c r="BW221" s="24">
        <v>12</v>
      </c>
      <c r="BX221" s="4" t="s">
        <v>502</v>
      </c>
    </row>
    <row r="222" spans="1:76" ht="14.4" x14ac:dyDescent="0.3">
      <c r="A222" s="2" t="s">
        <v>503</v>
      </c>
      <c r="B222" s="3" t="s">
        <v>504</v>
      </c>
      <c r="C222" s="89" t="s">
        <v>505</v>
      </c>
      <c r="D222" s="90"/>
      <c r="E222" s="3" t="s">
        <v>96</v>
      </c>
      <c r="F222" s="24">
        <v>4</v>
      </c>
      <c r="G222" s="24">
        <v>0</v>
      </c>
      <c r="H222" s="24">
        <f t="shared" si="22"/>
        <v>0</v>
      </c>
      <c r="I222" s="24">
        <f t="shared" si="23"/>
        <v>0</v>
      </c>
      <c r="J222" s="24">
        <f t="shared" si="24"/>
        <v>0</v>
      </c>
      <c r="K222" s="25" t="s">
        <v>56</v>
      </c>
      <c r="Z222" s="24">
        <f t="shared" si="25"/>
        <v>0</v>
      </c>
      <c r="AB222" s="24">
        <f t="shared" si="26"/>
        <v>0</v>
      </c>
      <c r="AC222" s="24">
        <f t="shared" si="27"/>
        <v>0</v>
      </c>
      <c r="AD222" s="24">
        <f t="shared" si="28"/>
        <v>0</v>
      </c>
      <c r="AE222" s="24">
        <f t="shared" si="29"/>
        <v>0</v>
      </c>
      <c r="AF222" s="24">
        <f t="shared" si="30"/>
        <v>0</v>
      </c>
      <c r="AG222" s="24">
        <f t="shared" si="31"/>
        <v>0</v>
      </c>
      <c r="AH222" s="24">
        <f t="shared" si="32"/>
        <v>0</v>
      </c>
      <c r="AI222" s="10" t="s">
        <v>49</v>
      </c>
      <c r="AJ222" s="24">
        <f t="shared" si="33"/>
        <v>0</v>
      </c>
      <c r="AK222" s="24">
        <f t="shared" si="34"/>
        <v>0</v>
      </c>
      <c r="AL222" s="24">
        <f t="shared" si="35"/>
        <v>0</v>
      </c>
      <c r="AN222" s="24">
        <v>12</v>
      </c>
      <c r="AO222" s="24">
        <f t="shared" si="44"/>
        <v>0</v>
      </c>
      <c r="AP222" s="24">
        <f t="shared" si="45"/>
        <v>0</v>
      </c>
      <c r="AQ222" s="26" t="s">
        <v>60</v>
      </c>
      <c r="AV222" s="24">
        <f t="shared" si="36"/>
        <v>0</v>
      </c>
      <c r="AW222" s="24">
        <f t="shared" si="37"/>
        <v>0</v>
      </c>
      <c r="AX222" s="24">
        <f t="shared" si="38"/>
        <v>0</v>
      </c>
      <c r="AY222" s="26" t="s">
        <v>446</v>
      </c>
      <c r="AZ222" s="26" t="s">
        <v>308</v>
      </c>
      <c r="BA222" s="10" t="s">
        <v>59</v>
      </c>
      <c r="BC222" s="24">
        <f t="shared" si="39"/>
        <v>0</v>
      </c>
      <c r="BD222" s="24">
        <f t="shared" si="40"/>
        <v>0</v>
      </c>
      <c r="BE222" s="24">
        <v>0</v>
      </c>
      <c r="BF222" s="24">
        <f>222</f>
        <v>222</v>
      </c>
      <c r="BH222" s="24">
        <f t="shared" si="41"/>
        <v>0</v>
      </c>
      <c r="BI222" s="24">
        <f t="shared" si="42"/>
        <v>0</v>
      </c>
      <c r="BJ222" s="24">
        <f t="shared" si="43"/>
        <v>0</v>
      </c>
      <c r="BK222" s="24"/>
      <c r="BL222" s="24"/>
      <c r="BW222" s="24">
        <v>12</v>
      </c>
      <c r="BX222" s="4" t="s">
        <v>505</v>
      </c>
    </row>
    <row r="223" spans="1:76" ht="14.4" x14ac:dyDescent="0.3">
      <c r="A223" s="2" t="s">
        <v>506</v>
      </c>
      <c r="B223" s="3" t="s">
        <v>507</v>
      </c>
      <c r="C223" s="89" t="s">
        <v>508</v>
      </c>
      <c r="D223" s="90"/>
      <c r="E223" s="3" t="s">
        <v>102</v>
      </c>
      <c r="F223" s="24">
        <v>170</v>
      </c>
      <c r="G223" s="24">
        <v>0</v>
      </c>
      <c r="H223" s="24">
        <f t="shared" si="22"/>
        <v>0</v>
      </c>
      <c r="I223" s="24">
        <f t="shared" si="23"/>
        <v>0</v>
      </c>
      <c r="J223" s="24">
        <f t="shared" si="24"/>
        <v>0</v>
      </c>
      <c r="K223" s="25" t="s">
        <v>56</v>
      </c>
      <c r="Z223" s="24">
        <f t="shared" si="25"/>
        <v>0</v>
      </c>
      <c r="AB223" s="24">
        <f t="shared" si="26"/>
        <v>0</v>
      </c>
      <c r="AC223" s="24">
        <f t="shared" si="27"/>
        <v>0</v>
      </c>
      <c r="AD223" s="24">
        <f t="shared" si="28"/>
        <v>0</v>
      </c>
      <c r="AE223" s="24">
        <f t="shared" si="29"/>
        <v>0</v>
      </c>
      <c r="AF223" s="24">
        <f t="shared" si="30"/>
        <v>0</v>
      </c>
      <c r="AG223" s="24">
        <f t="shared" si="31"/>
        <v>0</v>
      </c>
      <c r="AH223" s="24">
        <f t="shared" si="32"/>
        <v>0</v>
      </c>
      <c r="AI223" s="10" t="s">
        <v>49</v>
      </c>
      <c r="AJ223" s="24">
        <f t="shared" si="33"/>
        <v>0</v>
      </c>
      <c r="AK223" s="24">
        <f t="shared" si="34"/>
        <v>0</v>
      </c>
      <c r="AL223" s="24">
        <f t="shared" si="35"/>
        <v>0</v>
      </c>
      <c r="AN223" s="24">
        <v>12</v>
      </c>
      <c r="AO223" s="24">
        <f t="shared" si="44"/>
        <v>0</v>
      </c>
      <c r="AP223" s="24">
        <f t="shared" si="45"/>
        <v>0</v>
      </c>
      <c r="AQ223" s="26" t="s">
        <v>60</v>
      </c>
      <c r="AV223" s="24">
        <f t="shared" si="36"/>
        <v>0</v>
      </c>
      <c r="AW223" s="24">
        <f t="shared" si="37"/>
        <v>0</v>
      </c>
      <c r="AX223" s="24">
        <f t="shared" si="38"/>
        <v>0</v>
      </c>
      <c r="AY223" s="26" t="s">
        <v>446</v>
      </c>
      <c r="AZ223" s="26" t="s">
        <v>308</v>
      </c>
      <c r="BA223" s="10" t="s">
        <v>59</v>
      </c>
      <c r="BC223" s="24">
        <f t="shared" si="39"/>
        <v>0</v>
      </c>
      <c r="BD223" s="24">
        <f t="shared" si="40"/>
        <v>0</v>
      </c>
      <c r="BE223" s="24">
        <v>0</v>
      </c>
      <c r="BF223" s="24">
        <f>223</f>
        <v>223</v>
      </c>
      <c r="BH223" s="24">
        <f t="shared" si="41"/>
        <v>0</v>
      </c>
      <c r="BI223" s="24">
        <f t="shared" si="42"/>
        <v>0</v>
      </c>
      <c r="BJ223" s="24">
        <f t="shared" si="43"/>
        <v>0</v>
      </c>
      <c r="BK223" s="24"/>
      <c r="BL223" s="24"/>
      <c r="BW223" s="24">
        <v>12</v>
      </c>
      <c r="BX223" s="4" t="s">
        <v>508</v>
      </c>
    </row>
    <row r="224" spans="1:76" ht="14.4" x14ac:dyDescent="0.3">
      <c r="A224" s="2" t="s">
        <v>509</v>
      </c>
      <c r="B224" s="3" t="s">
        <v>510</v>
      </c>
      <c r="C224" s="89" t="s">
        <v>511</v>
      </c>
      <c r="D224" s="90"/>
      <c r="E224" s="3" t="s">
        <v>102</v>
      </c>
      <c r="F224" s="24">
        <v>40</v>
      </c>
      <c r="G224" s="24">
        <v>0</v>
      </c>
      <c r="H224" s="24">
        <f t="shared" si="22"/>
        <v>0</v>
      </c>
      <c r="I224" s="24">
        <f t="shared" si="23"/>
        <v>0</v>
      </c>
      <c r="J224" s="24">
        <f t="shared" si="24"/>
        <v>0</v>
      </c>
      <c r="K224" s="25" t="s">
        <v>56</v>
      </c>
      <c r="Z224" s="24">
        <f t="shared" si="25"/>
        <v>0</v>
      </c>
      <c r="AB224" s="24">
        <f t="shared" si="26"/>
        <v>0</v>
      </c>
      <c r="AC224" s="24">
        <f t="shared" si="27"/>
        <v>0</v>
      </c>
      <c r="AD224" s="24">
        <f t="shared" si="28"/>
        <v>0</v>
      </c>
      <c r="AE224" s="24">
        <f t="shared" si="29"/>
        <v>0</v>
      </c>
      <c r="AF224" s="24">
        <f t="shared" si="30"/>
        <v>0</v>
      </c>
      <c r="AG224" s="24">
        <f t="shared" si="31"/>
        <v>0</v>
      </c>
      <c r="AH224" s="24">
        <f t="shared" si="32"/>
        <v>0</v>
      </c>
      <c r="AI224" s="10" t="s">
        <v>49</v>
      </c>
      <c r="AJ224" s="24">
        <f t="shared" si="33"/>
        <v>0</v>
      </c>
      <c r="AK224" s="24">
        <f t="shared" si="34"/>
        <v>0</v>
      </c>
      <c r="AL224" s="24">
        <f t="shared" si="35"/>
        <v>0</v>
      </c>
      <c r="AN224" s="24">
        <v>12</v>
      </c>
      <c r="AO224" s="24">
        <f t="shared" si="44"/>
        <v>0</v>
      </c>
      <c r="AP224" s="24">
        <f t="shared" si="45"/>
        <v>0</v>
      </c>
      <c r="AQ224" s="26" t="s">
        <v>60</v>
      </c>
      <c r="AV224" s="24">
        <f t="shared" si="36"/>
        <v>0</v>
      </c>
      <c r="AW224" s="24">
        <f t="shared" si="37"/>
        <v>0</v>
      </c>
      <c r="AX224" s="24">
        <f t="shared" si="38"/>
        <v>0</v>
      </c>
      <c r="AY224" s="26" t="s">
        <v>446</v>
      </c>
      <c r="AZ224" s="26" t="s">
        <v>308</v>
      </c>
      <c r="BA224" s="10" t="s">
        <v>59</v>
      </c>
      <c r="BC224" s="24">
        <f t="shared" si="39"/>
        <v>0</v>
      </c>
      <c r="BD224" s="24">
        <f t="shared" si="40"/>
        <v>0</v>
      </c>
      <c r="BE224" s="24">
        <v>0</v>
      </c>
      <c r="BF224" s="24">
        <f>224</f>
        <v>224</v>
      </c>
      <c r="BH224" s="24">
        <f t="shared" si="41"/>
        <v>0</v>
      </c>
      <c r="BI224" s="24">
        <f t="shared" si="42"/>
        <v>0</v>
      </c>
      <c r="BJ224" s="24">
        <f t="shared" si="43"/>
        <v>0</v>
      </c>
      <c r="BK224" s="24"/>
      <c r="BL224" s="24"/>
      <c r="BW224" s="24">
        <v>12</v>
      </c>
      <c r="BX224" s="4" t="s">
        <v>511</v>
      </c>
    </row>
    <row r="225" spans="1:76" ht="14.4" x14ac:dyDescent="0.3">
      <c r="A225" s="2" t="s">
        <v>512</v>
      </c>
      <c r="B225" s="3" t="s">
        <v>513</v>
      </c>
      <c r="C225" s="89" t="s">
        <v>514</v>
      </c>
      <c r="D225" s="90"/>
      <c r="E225" s="3" t="s">
        <v>96</v>
      </c>
      <c r="F225" s="24">
        <v>1</v>
      </c>
      <c r="G225" s="24">
        <v>0</v>
      </c>
      <c r="H225" s="24">
        <f t="shared" si="22"/>
        <v>0</v>
      </c>
      <c r="I225" s="24">
        <f t="shared" si="23"/>
        <v>0</v>
      </c>
      <c r="J225" s="24">
        <f t="shared" si="24"/>
        <v>0</v>
      </c>
      <c r="K225" s="25" t="s">
        <v>56</v>
      </c>
      <c r="Z225" s="24">
        <f t="shared" si="25"/>
        <v>0</v>
      </c>
      <c r="AB225" s="24">
        <f t="shared" si="26"/>
        <v>0</v>
      </c>
      <c r="AC225" s="24">
        <f t="shared" si="27"/>
        <v>0</v>
      </c>
      <c r="AD225" s="24">
        <f t="shared" si="28"/>
        <v>0</v>
      </c>
      <c r="AE225" s="24">
        <f t="shared" si="29"/>
        <v>0</v>
      </c>
      <c r="AF225" s="24">
        <f t="shared" si="30"/>
        <v>0</v>
      </c>
      <c r="AG225" s="24">
        <f t="shared" si="31"/>
        <v>0</v>
      </c>
      <c r="AH225" s="24">
        <f t="shared" si="32"/>
        <v>0</v>
      </c>
      <c r="AI225" s="10" t="s">
        <v>49</v>
      </c>
      <c r="AJ225" s="24">
        <f t="shared" si="33"/>
        <v>0</v>
      </c>
      <c r="AK225" s="24">
        <f t="shared" si="34"/>
        <v>0</v>
      </c>
      <c r="AL225" s="24">
        <f t="shared" si="35"/>
        <v>0</v>
      </c>
      <c r="AN225" s="24">
        <v>12</v>
      </c>
      <c r="AO225" s="24">
        <f t="shared" si="44"/>
        <v>0</v>
      </c>
      <c r="AP225" s="24">
        <f t="shared" si="45"/>
        <v>0</v>
      </c>
      <c r="AQ225" s="26" t="s">
        <v>60</v>
      </c>
      <c r="AV225" s="24">
        <f t="shared" si="36"/>
        <v>0</v>
      </c>
      <c r="AW225" s="24">
        <f t="shared" si="37"/>
        <v>0</v>
      </c>
      <c r="AX225" s="24">
        <f t="shared" si="38"/>
        <v>0</v>
      </c>
      <c r="AY225" s="26" t="s">
        <v>446</v>
      </c>
      <c r="AZ225" s="26" t="s">
        <v>308</v>
      </c>
      <c r="BA225" s="10" t="s">
        <v>59</v>
      </c>
      <c r="BC225" s="24">
        <f t="shared" si="39"/>
        <v>0</v>
      </c>
      <c r="BD225" s="24">
        <f t="shared" si="40"/>
        <v>0</v>
      </c>
      <c r="BE225" s="24">
        <v>0</v>
      </c>
      <c r="BF225" s="24">
        <f>225</f>
        <v>225</v>
      </c>
      <c r="BH225" s="24">
        <f t="shared" si="41"/>
        <v>0</v>
      </c>
      <c r="BI225" s="24">
        <f t="shared" si="42"/>
        <v>0</v>
      </c>
      <c r="BJ225" s="24">
        <f t="shared" si="43"/>
        <v>0</v>
      </c>
      <c r="BK225" s="24"/>
      <c r="BL225" s="24"/>
      <c r="BW225" s="24">
        <v>12</v>
      </c>
      <c r="BX225" s="4" t="s">
        <v>514</v>
      </c>
    </row>
    <row r="226" spans="1:76" ht="14.4" x14ac:dyDescent="0.3">
      <c r="A226" s="2" t="s">
        <v>515</v>
      </c>
      <c r="B226" s="3" t="s">
        <v>516</v>
      </c>
      <c r="C226" s="89" t="s">
        <v>517</v>
      </c>
      <c r="D226" s="90"/>
      <c r="E226" s="3" t="s">
        <v>96</v>
      </c>
      <c r="F226" s="24">
        <v>4</v>
      </c>
      <c r="G226" s="24">
        <v>0</v>
      </c>
      <c r="H226" s="24">
        <f t="shared" si="22"/>
        <v>0</v>
      </c>
      <c r="I226" s="24">
        <f t="shared" si="23"/>
        <v>0</v>
      </c>
      <c r="J226" s="24">
        <f t="shared" si="24"/>
        <v>0</v>
      </c>
      <c r="K226" s="25" t="s">
        <v>56</v>
      </c>
      <c r="Z226" s="24">
        <f t="shared" si="25"/>
        <v>0</v>
      </c>
      <c r="AB226" s="24">
        <f t="shared" si="26"/>
        <v>0</v>
      </c>
      <c r="AC226" s="24">
        <f t="shared" si="27"/>
        <v>0</v>
      </c>
      <c r="AD226" s="24">
        <f t="shared" si="28"/>
        <v>0</v>
      </c>
      <c r="AE226" s="24">
        <f t="shared" si="29"/>
        <v>0</v>
      </c>
      <c r="AF226" s="24">
        <f t="shared" si="30"/>
        <v>0</v>
      </c>
      <c r="AG226" s="24">
        <f t="shared" si="31"/>
        <v>0</v>
      </c>
      <c r="AH226" s="24">
        <f t="shared" si="32"/>
        <v>0</v>
      </c>
      <c r="AI226" s="10" t="s">
        <v>49</v>
      </c>
      <c r="AJ226" s="24">
        <f t="shared" si="33"/>
        <v>0</v>
      </c>
      <c r="AK226" s="24">
        <f t="shared" si="34"/>
        <v>0</v>
      </c>
      <c r="AL226" s="24">
        <f t="shared" si="35"/>
        <v>0</v>
      </c>
      <c r="AN226" s="24">
        <v>12</v>
      </c>
      <c r="AO226" s="24">
        <f t="shared" si="44"/>
        <v>0</v>
      </c>
      <c r="AP226" s="24">
        <f t="shared" si="45"/>
        <v>0</v>
      </c>
      <c r="AQ226" s="26" t="s">
        <v>60</v>
      </c>
      <c r="AV226" s="24">
        <f t="shared" si="36"/>
        <v>0</v>
      </c>
      <c r="AW226" s="24">
        <f t="shared" si="37"/>
        <v>0</v>
      </c>
      <c r="AX226" s="24">
        <f t="shared" si="38"/>
        <v>0</v>
      </c>
      <c r="AY226" s="26" t="s">
        <v>446</v>
      </c>
      <c r="AZ226" s="26" t="s">
        <v>308</v>
      </c>
      <c r="BA226" s="10" t="s">
        <v>59</v>
      </c>
      <c r="BC226" s="24">
        <f t="shared" si="39"/>
        <v>0</v>
      </c>
      <c r="BD226" s="24">
        <f t="shared" si="40"/>
        <v>0</v>
      </c>
      <c r="BE226" s="24">
        <v>0</v>
      </c>
      <c r="BF226" s="24">
        <f>226</f>
        <v>226</v>
      </c>
      <c r="BH226" s="24">
        <f t="shared" si="41"/>
        <v>0</v>
      </c>
      <c r="BI226" s="24">
        <f t="shared" si="42"/>
        <v>0</v>
      </c>
      <c r="BJ226" s="24">
        <f t="shared" si="43"/>
        <v>0</v>
      </c>
      <c r="BK226" s="24"/>
      <c r="BL226" s="24"/>
      <c r="BW226" s="24">
        <v>12</v>
      </c>
      <c r="BX226" s="4" t="s">
        <v>517</v>
      </c>
    </row>
    <row r="227" spans="1:76" ht="14.4" x14ac:dyDescent="0.3">
      <c r="A227" s="30" t="s">
        <v>49</v>
      </c>
      <c r="B227" s="31" t="s">
        <v>518</v>
      </c>
      <c r="C227" s="91" t="s">
        <v>519</v>
      </c>
      <c r="D227" s="92"/>
      <c r="E227" s="32" t="s">
        <v>4</v>
      </c>
      <c r="F227" s="32" t="s">
        <v>4</v>
      </c>
      <c r="G227" s="32" t="s">
        <v>4</v>
      </c>
      <c r="H227" s="1">
        <f>SUM(H228:H244)</f>
        <v>0</v>
      </c>
      <c r="I227" s="1">
        <f>SUM(I228:I244)</f>
        <v>0</v>
      </c>
      <c r="J227" s="1">
        <f>SUM(J228:J244)</f>
        <v>0</v>
      </c>
      <c r="K227" s="33" t="s">
        <v>49</v>
      </c>
      <c r="AI227" s="10" t="s">
        <v>49</v>
      </c>
      <c r="AS227" s="1">
        <f>SUM(AJ228:AJ244)</f>
        <v>0</v>
      </c>
      <c r="AT227" s="1">
        <f>SUM(AK228:AK244)</f>
        <v>0</v>
      </c>
      <c r="AU227" s="1">
        <f>SUM(AL228:AL244)</f>
        <v>0</v>
      </c>
    </row>
    <row r="228" spans="1:76" ht="14.4" x14ac:dyDescent="0.3">
      <c r="A228" s="2" t="s">
        <v>520</v>
      </c>
      <c r="B228" s="3" t="s">
        <v>521</v>
      </c>
      <c r="C228" s="89" t="s">
        <v>522</v>
      </c>
      <c r="D228" s="90"/>
      <c r="E228" s="3" t="s">
        <v>400</v>
      </c>
      <c r="F228" s="24">
        <v>13.8</v>
      </c>
      <c r="G228" s="24">
        <v>0</v>
      </c>
      <c r="H228" s="24">
        <f>ROUND(F228*AO228,2)</f>
        <v>0</v>
      </c>
      <c r="I228" s="24">
        <f>ROUND(F228*AP228,2)</f>
        <v>0</v>
      </c>
      <c r="J228" s="24">
        <f>ROUND(F228*G228,2)</f>
        <v>0</v>
      </c>
      <c r="K228" s="25" t="s">
        <v>56</v>
      </c>
      <c r="Z228" s="24">
        <f>ROUND(IF(AQ228="5",BJ228,0),2)</f>
        <v>0</v>
      </c>
      <c r="AB228" s="24">
        <f>ROUND(IF(AQ228="1",BH228,0),2)</f>
        <v>0</v>
      </c>
      <c r="AC228" s="24">
        <f>ROUND(IF(AQ228="1",BI228,0),2)</f>
        <v>0</v>
      </c>
      <c r="AD228" s="24">
        <f>ROUND(IF(AQ228="7",BH228,0),2)</f>
        <v>0</v>
      </c>
      <c r="AE228" s="24">
        <f>ROUND(IF(AQ228="7",BI228,0),2)</f>
        <v>0</v>
      </c>
      <c r="AF228" s="24">
        <f>ROUND(IF(AQ228="2",BH228,0),2)</f>
        <v>0</v>
      </c>
      <c r="AG228" s="24">
        <f>ROUND(IF(AQ228="2",BI228,0),2)</f>
        <v>0</v>
      </c>
      <c r="AH228" s="24">
        <f>ROUND(IF(AQ228="0",BJ228,0),2)</f>
        <v>0</v>
      </c>
      <c r="AI228" s="10" t="s">
        <v>49</v>
      </c>
      <c r="AJ228" s="24">
        <f>IF(AN228=0,J228,0)</f>
        <v>0</v>
      </c>
      <c r="AK228" s="24">
        <f>IF(AN228=12,J228,0)</f>
        <v>0</v>
      </c>
      <c r="AL228" s="24">
        <f>IF(AN228=21,J228,0)</f>
        <v>0</v>
      </c>
      <c r="AN228" s="24">
        <v>12</v>
      </c>
      <c r="AO228" s="24">
        <f>G228*0</f>
        <v>0</v>
      </c>
      <c r="AP228" s="24">
        <f>G228*(1-0)</f>
        <v>0</v>
      </c>
      <c r="AQ228" s="26" t="s">
        <v>80</v>
      </c>
      <c r="AV228" s="24">
        <f>ROUND(AW228+AX228,2)</f>
        <v>0</v>
      </c>
      <c r="AW228" s="24">
        <f>ROUND(F228*AO228,2)</f>
        <v>0</v>
      </c>
      <c r="AX228" s="24">
        <f>ROUND(F228*AP228,2)</f>
        <v>0</v>
      </c>
      <c r="AY228" s="26" t="s">
        <v>523</v>
      </c>
      <c r="AZ228" s="26" t="s">
        <v>308</v>
      </c>
      <c r="BA228" s="10" t="s">
        <v>59</v>
      </c>
      <c r="BC228" s="24">
        <f>AW228+AX228</f>
        <v>0</v>
      </c>
      <c r="BD228" s="24">
        <f>G228/(100-BE228)*100</f>
        <v>0</v>
      </c>
      <c r="BE228" s="24">
        <v>0</v>
      </c>
      <c r="BF228" s="24">
        <f>228</f>
        <v>228</v>
      </c>
      <c r="BH228" s="24">
        <f>F228*AO228</f>
        <v>0</v>
      </c>
      <c r="BI228" s="24">
        <f>F228*AP228</f>
        <v>0</v>
      </c>
      <c r="BJ228" s="24">
        <f>F228*G228</f>
        <v>0</v>
      </c>
      <c r="BK228" s="24"/>
      <c r="BL228" s="24"/>
      <c r="BW228" s="24">
        <v>12</v>
      </c>
      <c r="BX228" s="4" t="s">
        <v>522</v>
      </c>
    </row>
    <row r="229" spans="1:76" ht="39.6" x14ac:dyDescent="0.3">
      <c r="A229" s="27"/>
      <c r="B229" s="28" t="s">
        <v>63</v>
      </c>
      <c r="C229" s="95" t="s">
        <v>524</v>
      </c>
      <c r="D229" s="96"/>
      <c r="E229" s="96"/>
      <c r="F229" s="96"/>
      <c r="G229" s="96"/>
      <c r="H229" s="96"/>
      <c r="I229" s="96"/>
      <c r="J229" s="96"/>
      <c r="K229" s="97"/>
      <c r="BX229" s="29" t="s">
        <v>524</v>
      </c>
    </row>
    <row r="230" spans="1:76" ht="14.4" x14ac:dyDescent="0.3">
      <c r="A230" s="2" t="s">
        <v>525</v>
      </c>
      <c r="B230" s="3" t="s">
        <v>526</v>
      </c>
      <c r="C230" s="89" t="s">
        <v>527</v>
      </c>
      <c r="D230" s="90"/>
      <c r="E230" s="3" t="s">
        <v>400</v>
      </c>
      <c r="F230" s="24">
        <v>36.1</v>
      </c>
      <c r="G230" s="24">
        <v>0</v>
      </c>
      <c r="H230" s="24">
        <f>ROUND(F230*AO230,2)</f>
        <v>0</v>
      </c>
      <c r="I230" s="24">
        <f>ROUND(F230*AP230,2)</f>
        <v>0</v>
      </c>
      <c r="J230" s="24">
        <f>ROUND(F230*G230,2)</f>
        <v>0</v>
      </c>
      <c r="K230" s="25" t="s">
        <v>56</v>
      </c>
      <c r="Z230" s="24">
        <f>ROUND(IF(AQ230="5",BJ230,0),2)</f>
        <v>0</v>
      </c>
      <c r="AB230" s="24">
        <f>ROUND(IF(AQ230="1",BH230,0),2)</f>
        <v>0</v>
      </c>
      <c r="AC230" s="24">
        <f>ROUND(IF(AQ230="1",BI230,0),2)</f>
        <v>0</v>
      </c>
      <c r="AD230" s="24">
        <f>ROUND(IF(AQ230="7",BH230,0),2)</f>
        <v>0</v>
      </c>
      <c r="AE230" s="24">
        <f>ROUND(IF(AQ230="7",BI230,0),2)</f>
        <v>0</v>
      </c>
      <c r="AF230" s="24">
        <f>ROUND(IF(AQ230="2",BH230,0),2)</f>
        <v>0</v>
      </c>
      <c r="AG230" s="24">
        <f>ROUND(IF(AQ230="2",BI230,0),2)</f>
        <v>0</v>
      </c>
      <c r="AH230" s="24">
        <f>ROUND(IF(AQ230="0",BJ230,0),2)</f>
        <v>0</v>
      </c>
      <c r="AI230" s="10" t="s">
        <v>49</v>
      </c>
      <c r="AJ230" s="24">
        <f>IF(AN230=0,J230,0)</f>
        <v>0</v>
      </c>
      <c r="AK230" s="24">
        <f>IF(AN230=12,J230,0)</f>
        <v>0</v>
      </c>
      <c r="AL230" s="24">
        <f>IF(AN230=21,J230,0)</f>
        <v>0</v>
      </c>
      <c r="AN230" s="24">
        <v>12</v>
      </c>
      <c r="AO230" s="24">
        <f>G230*0</f>
        <v>0</v>
      </c>
      <c r="AP230" s="24">
        <f>G230*(1-0)</f>
        <v>0</v>
      </c>
      <c r="AQ230" s="26" t="s">
        <v>80</v>
      </c>
      <c r="AV230" s="24">
        <f>ROUND(AW230+AX230,2)</f>
        <v>0</v>
      </c>
      <c r="AW230" s="24">
        <f>ROUND(F230*AO230,2)</f>
        <v>0</v>
      </c>
      <c r="AX230" s="24">
        <f>ROUND(F230*AP230,2)</f>
        <v>0</v>
      </c>
      <c r="AY230" s="26" t="s">
        <v>523</v>
      </c>
      <c r="AZ230" s="26" t="s">
        <v>308</v>
      </c>
      <c r="BA230" s="10" t="s">
        <v>59</v>
      </c>
      <c r="BC230" s="24">
        <f>AW230+AX230</f>
        <v>0</v>
      </c>
      <c r="BD230" s="24">
        <f>G230/(100-BE230)*100</f>
        <v>0</v>
      </c>
      <c r="BE230" s="24">
        <v>0</v>
      </c>
      <c r="BF230" s="24">
        <f>230</f>
        <v>230</v>
      </c>
      <c r="BH230" s="24">
        <f>F230*AO230</f>
        <v>0</v>
      </c>
      <c r="BI230" s="24">
        <f>F230*AP230</f>
        <v>0</v>
      </c>
      <c r="BJ230" s="24">
        <f>F230*G230</f>
        <v>0</v>
      </c>
      <c r="BK230" s="24"/>
      <c r="BL230" s="24"/>
      <c r="BW230" s="24">
        <v>12</v>
      </c>
      <c r="BX230" s="4" t="s">
        <v>527</v>
      </c>
    </row>
    <row r="231" spans="1:76" ht="13.5" customHeight="1" x14ac:dyDescent="0.3">
      <c r="A231" s="27"/>
      <c r="B231" s="28" t="s">
        <v>86</v>
      </c>
      <c r="C231" s="95" t="s">
        <v>528</v>
      </c>
      <c r="D231" s="96"/>
      <c r="E231" s="96"/>
      <c r="F231" s="96"/>
      <c r="G231" s="96"/>
      <c r="H231" s="96"/>
      <c r="I231" s="96"/>
      <c r="J231" s="96"/>
      <c r="K231" s="97"/>
    </row>
    <row r="232" spans="1:76" ht="26.4" x14ac:dyDescent="0.3">
      <c r="A232" s="27"/>
      <c r="B232" s="28" t="s">
        <v>63</v>
      </c>
      <c r="C232" s="95" t="s">
        <v>529</v>
      </c>
      <c r="D232" s="96"/>
      <c r="E232" s="96"/>
      <c r="F232" s="96"/>
      <c r="G232" s="96"/>
      <c r="H232" s="96"/>
      <c r="I232" s="96"/>
      <c r="J232" s="96"/>
      <c r="K232" s="97"/>
      <c r="BX232" s="29" t="s">
        <v>529</v>
      </c>
    </row>
    <row r="233" spans="1:76" ht="14.4" x14ac:dyDescent="0.3">
      <c r="A233" s="2" t="s">
        <v>530</v>
      </c>
      <c r="B233" s="3" t="s">
        <v>531</v>
      </c>
      <c r="C233" s="89" t="s">
        <v>532</v>
      </c>
      <c r="D233" s="90"/>
      <c r="E233" s="3" t="s">
        <v>400</v>
      </c>
      <c r="F233" s="24">
        <v>36.1</v>
      </c>
      <c r="G233" s="24">
        <v>0</v>
      </c>
      <c r="H233" s="24">
        <f>ROUND(F233*AO233,2)</f>
        <v>0</v>
      </c>
      <c r="I233" s="24">
        <f>ROUND(F233*AP233,2)</f>
        <v>0</v>
      </c>
      <c r="J233" s="24">
        <f>ROUND(F233*G233,2)</f>
        <v>0</v>
      </c>
      <c r="K233" s="25" t="s">
        <v>56</v>
      </c>
      <c r="Z233" s="24">
        <f>ROUND(IF(AQ233="5",BJ233,0),2)</f>
        <v>0</v>
      </c>
      <c r="AB233" s="24">
        <f>ROUND(IF(AQ233="1",BH233,0),2)</f>
        <v>0</v>
      </c>
      <c r="AC233" s="24">
        <f>ROUND(IF(AQ233="1",BI233,0),2)</f>
        <v>0</v>
      </c>
      <c r="AD233" s="24">
        <f>ROUND(IF(AQ233="7",BH233,0),2)</f>
        <v>0</v>
      </c>
      <c r="AE233" s="24">
        <f>ROUND(IF(AQ233="7",BI233,0),2)</f>
        <v>0</v>
      </c>
      <c r="AF233" s="24">
        <f>ROUND(IF(AQ233="2",BH233,0),2)</f>
        <v>0</v>
      </c>
      <c r="AG233" s="24">
        <f>ROUND(IF(AQ233="2",BI233,0),2)</f>
        <v>0</v>
      </c>
      <c r="AH233" s="24">
        <f>ROUND(IF(AQ233="0",BJ233,0),2)</f>
        <v>0</v>
      </c>
      <c r="AI233" s="10" t="s">
        <v>49</v>
      </c>
      <c r="AJ233" s="24">
        <f>IF(AN233=0,J233,0)</f>
        <v>0</v>
      </c>
      <c r="AK233" s="24">
        <f>IF(AN233=12,J233,0)</f>
        <v>0</v>
      </c>
      <c r="AL233" s="24">
        <f>IF(AN233=21,J233,0)</f>
        <v>0</v>
      </c>
      <c r="AN233" s="24">
        <v>12</v>
      </c>
      <c r="AO233" s="24">
        <f>G233*0</f>
        <v>0</v>
      </c>
      <c r="AP233" s="24">
        <f>G233*(1-0)</f>
        <v>0</v>
      </c>
      <c r="AQ233" s="26" t="s">
        <v>80</v>
      </c>
      <c r="AV233" s="24">
        <f>ROUND(AW233+AX233,2)</f>
        <v>0</v>
      </c>
      <c r="AW233" s="24">
        <f>ROUND(F233*AO233,2)</f>
        <v>0</v>
      </c>
      <c r="AX233" s="24">
        <f>ROUND(F233*AP233,2)</f>
        <v>0</v>
      </c>
      <c r="AY233" s="26" t="s">
        <v>523</v>
      </c>
      <c r="AZ233" s="26" t="s">
        <v>308</v>
      </c>
      <c r="BA233" s="10" t="s">
        <v>59</v>
      </c>
      <c r="BC233" s="24">
        <f>AW233+AX233</f>
        <v>0</v>
      </c>
      <c r="BD233" s="24">
        <f>G233/(100-BE233)*100</f>
        <v>0</v>
      </c>
      <c r="BE233" s="24">
        <v>0</v>
      </c>
      <c r="BF233" s="24">
        <f>233</f>
        <v>233</v>
      </c>
      <c r="BH233" s="24">
        <f>F233*AO233</f>
        <v>0</v>
      </c>
      <c r="BI233" s="24">
        <f>F233*AP233</f>
        <v>0</v>
      </c>
      <c r="BJ233" s="24">
        <f>F233*G233</f>
        <v>0</v>
      </c>
      <c r="BK233" s="24"/>
      <c r="BL233" s="24"/>
      <c r="BW233" s="24">
        <v>12</v>
      </c>
      <c r="BX233" s="4" t="s">
        <v>532</v>
      </c>
    </row>
    <row r="234" spans="1:76" ht="14.4" x14ac:dyDescent="0.3">
      <c r="A234" s="2" t="s">
        <v>533</v>
      </c>
      <c r="B234" s="3" t="s">
        <v>534</v>
      </c>
      <c r="C234" s="89" t="s">
        <v>535</v>
      </c>
      <c r="D234" s="90"/>
      <c r="E234" s="3" t="s">
        <v>400</v>
      </c>
      <c r="F234" s="24">
        <v>50</v>
      </c>
      <c r="G234" s="24">
        <v>0</v>
      </c>
      <c r="H234" s="24">
        <f>ROUND(F234*AO234,2)</f>
        <v>0</v>
      </c>
      <c r="I234" s="24">
        <f>ROUND(F234*AP234,2)</f>
        <v>0</v>
      </c>
      <c r="J234" s="24">
        <f>ROUND(F234*G234,2)</f>
        <v>0</v>
      </c>
      <c r="K234" s="25" t="s">
        <v>56</v>
      </c>
      <c r="Z234" s="24">
        <f>ROUND(IF(AQ234="5",BJ234,0),2)</f>
        <v>0</v>
      </c>
      <c r="AB234" s="24">
        <f>ROUND(IF(AQ234="1",BH234,0),2)</f>
        <v>0</v>
      </c>
      <c r="AC234" s="24">
        <f>ROUND(IF(AQ234="1",BI234,0),2)</f>
        <v>0</v>
      </c>
      <c r="AD234" s="24">
        <f>ROUND(IF(AQ234="7",BH234,0),2)</f>
        <v>0</v>
      </c>
      <c r="AE234" s="24">
        <f>ROUND(IF(AQ234="7",BI234,0),2)</f>
        <v>0</v>
      </c>
      <c r="AF234" s="24">
        <f>ROUND(IF(AQ234="2",BH234,0),2)</f>
        <v>0</v>
      </c>
      <c r="AG234" s="24">
        <f>ROUND(IF(AQ234="2",BI234,0),2)</f>
        <v>0</v>
      </c>
      <c r="AH234" s="24">
        <f>ROUND(IF(AQ234="0",BJ234,0),2)</f>
        <v>0</v>
      </c>
      <c r="AI234" s="10" t="s">
        <v>49</v>
      </c>
      <c r="AJ234" s="24">
        <f>IF(AN234=0,J234,0)</f>
        <v>0</v>
      </c>
      <c r="AK234" s="24">
        <f>IF(AN234=12,J234,0)</f>
        <v>0</v>
      </c>
      <c r="AL234" s="24">
        <f>IF(AN234=21,J234,0)</f>
        <v>0</v>
      </c>
      <c r="AN234" s="24">
        <v>12</v>
      </c>
      <c r="AO234" s="24">
        <f>G234*0</f>
        <v>0</v>
      </c>
      <c r="AP234" s="24">
        <f>G234*(1-0)</f>
        <v>0</v>
      </c>
      <c r="AQ234" s="26" t="s">
        <v>80</v>
      </c>
      <c r="AV234" s="24">
        <f>ROUND(AW234+AX234,2)</f>
        <v>0</v>
      </c>
      <c r="AW234" s="24">
        <f>ROUND(F234*AO234,2)</f>
        <v>0</v>
      </c>
      <c r="AX234" s="24">
        <f>ROUND(F234*AP234,2)</f>
        <v>0</v>
      </c>
      <c r="AY234" s="26" t="s">
        <v>523</v>
      </c>
      <c r="AZ234" s="26" t="s">
        <v>308</v>
      </c>
      <c r="BA234" s="10" t="s">
        <v>59</v>
      </c>
      <c r="BC234" s="24">
        <f>AW234+AX234</f>
        <v>0</v>
      </c>
      <c r="BD234" s="24">
        <f>G234/(100-BE234)*100</f>
        <v>0</v>
      </c>
      <c r="BE234" s="24">
        <v>0</v>
      </c>
      <c r="BF234" s="24">
        <f>234</f>
        <v>234</v>
      </c>
      <c r="BH234" s="24">
        <f>F234*AO234</f>
        <v>0</v>
      </c>
      <c r="BI234" s="24">
        <f>F234*AP234</f>
        <v>0</v>
      </c>
      <c r="BJ234" s="24">
        <f>F234*G234</f>
        <v>0</v>
      </c>
      <c r="BK234" s="24"/>
      <c r="BL234" s="24"/>
      <c r="BW234" s="24">
        <v>12</v>
      </c>
      <c r="BX234" s="4" t="s">
        <v>535</v>
      </c>
    </row>
    <row r="235" spans="1:76" ht="13.5" customHeight="1" x14ac:dyDescent="0.3">
      <c r="A235" s="27"/>
      <c r="B235" s="28" t="s">
        <v>86</v>
      </c>
      <c r="C235" s="95" t="s">
        <v>536</v>
      </c>
      <c r="D235" s="96"/>
      <c r="E235" s="96"/>
      <c r="F235" s="96"/>
      <c r="G235" s="96"/>
      <c r="H235" s="96"/>
      <c r="I235" s="96"/>
      <c r="J235" s="96"/>
      <c r="K235" s="97"/>
    </row>
    <row r="236" spans="1:76" ht="14.4" x14ac:dyDescent="0.3">
      <c r="A236" s="2" t="s">
        <v>537</v>
      </c>
      <c r="B236" s="3" t="s">
        <v>538</v>
      </c>
      <c r="C236" s="89" t="s">
        <v>539</v>
      </c>
      <c r="D236" s="90"/>
      <c r="E236" s="3" t="s">
        <v>400</v>
      </c>
      <c r="F236" s="24">
        <v>50</v>
      </c>
      <c r="G236" s="24">
        <v>0</v>
      </c>
      <c r="H236" s="24">
        <f>ROUND(F236*AO236,2)</f>
        <v>0</v>
      </c>
      <c r="I236" s="24">
        <f>ROUND(F236*AP236,2)</f>
        <v>0</v>
      </c>
      <c r="J236" s="24">
        <f>ROUND(F236*G236,2)</f>
        <v>0</v>
      </c>
      <c r="K236" s="25" t="s">
        <v>56</v>
      </c>
      <c r="Z236" s="24">
        <f>ROUND(IF(AQ236="5",BJ236,0),2)</f>
        <v>0</v>
      </c>
      <c r="AB236" s="24">
        <f>ROUND(IF(AQ236="1",BH236,0),2)</f>
        <v>0</v>
      </c>
      <c r="AC236" s="24">
        <f>ROUND(IF(AQ236="1",BI236,0),2)</f>
        <v>0</v>
      </c>
      <c r="AD236" s="24">
        <f>ROUND(IF(AQ236="7",BH236,0),2)</f>
        <v>0</v>
      </c>
      <c r="AE236" s="24">
        <f>ROUND(IF(AQ236="7",BI236,0),2)</f>
        <v>0</v>
      </c>
      <c r="AF236" s="24">
        <f>ROUND(IF(AQ236="2",BH236,0),2)</f>
        <v>0</v>
      </c>
      <c r="AG236" s="24">
        <f>ROUND(IF(AQ236="2",BI236,0),2)</f>
        <v>0</v>
      </c>
      <c r="AH236" s="24">
        <f>ROUND(IF(AQ236="0",BJ236,0),2)</f>
        <v>0</v>
      </c>
      <c r="AI236" s="10" t="s">
        <v>49</v>
      </c>
      <c r="AJ236" s="24">
        <f>IF(AN236=0,J236,0)</f>
        <v>0</v>
      </c>
      <c r="AK236" s="24">
        <f>IF(AN236=12,J236,0)</f>
        <v>0</v>
      </c>
      <c r="AL236" s="24">
        <f>IF(AN236=21,J236,0)</f>
        <v>0</v>
      </c>
      <c r="AN236" s="24">
        <v>12</v>
      </c>
      <c r="AO236" s="24">
        <f>G236*0</f>
        <v>0</v>
      </c>
      <c r="AP236" s="24">
        <f>G236*(1-0)</f>
        <v>0</v>
      </c>
      <c r="AQ236" s="26" t="s">
        <v>80</v>
      </c>
      <c r="AV236" s="24">
        <f>ROUND(AW236+AX236,2)</f>
        <v>0</v>
      </c>
      <c r="AW236" s="24">
        <f>ROUND(F236*AO236,2)</f>
        <v>0</v>
      </c>
      <c r="AX236" s="24">
        <f>ROUND(F236*AP236,2)</f>
        <v>0</v>
      </c>
      <c r="AY236" s="26" t="s">
        <v>523</v>
      </c>
      <c r="AZ236" s="26" t="s">
        <v>308</v>
      </c>
      <c r="BA236" s="10" t="s">
        <v>59</v>
      </c>
      <c r="BC236" s="24">
        <f>AW236+AX236</f>
        <v>0</v>
      </c>
      <c r="BD236" s="24">
        <f>G236/(100-BE236)*100</f>
        <v>0</v>
      </c>
      <c r="BE236" s="24">
        <v>0</v>
      </c>
      <c r="BF236" s="24">
        <f>236</f>
        <v>236</v>
      </c>
      <c r="BH236" s="24">
        <f>F236*AO236</f>
        <v>0</v>
      </c>
      <c r="BI236" s="24">
        <f>F236*AP236</f>
        <v>0</v>
      </c>
      <c r="BJ236" s="24">
        <f>F236*G236</f>
        <v>0</v>
      </c>
      <c r="BK236" s="24"/>
      <c r="BL236" s="24"/>
      <c r="BW236" s="24">
        <v>12</v>
      </c>
      <c r="BX236" s="4" t="s">
        <v>539</v>
      </c>
    </row>
    <row r="237" spans="1:76" ht="14.4" x14ac:dyDescent="0.3">
      <c r="A237" s="27"/>
      <c r="B237" s="28" t="s">
        <v>63</v>
      </c>
      <c r="C237" s="95" t="s">
        <v>540</v>
      </c>
      <c r="D237" s="96"/>
      <c r="E237" s="96"/>
      <c r="F237" s="96"/>
      <c r="G237" s="96"/>
      <c r="H237" s="96"/>
      <c r="I237" s="96"/>
      <c r="J237" s="96"/>
      <c r="K237" s="97"/>
      <c r="BX237" s="29" t="s">
        <v>540</v>
      </c>
    </row>
    <row r="238" spans="1:76" ht="14.4" x14ac:dyDescent="0.3">
      <c r="A238" s="2" t="s">
        <v>541</v>
      </c>
      <c r="B238" s="3" t="s">
        <v>542</v>
      </c>
      <c r="C238" s="89" t="s">
        <v>543</v>
      </c>
      <c r="D238" s="90"/>
      <c r="E238" s="3" t="s">
        <v>400</v>
      </c>
      <c r="F238" s="24">
        <v>36.1</v>
      </c>
      <c r="G238" s="24">
        <v>0</v>
      </c>
      <c r="H238" s="24">
        <f>ROUND(F238*AO238,2)</f>
        <v>0</v>
      </c>
      <c r="I238" s="24">
        <f>ROUND(F238*AP238,2)</f>
        <v>0</v>
      </c>
      <c r="J238" s="24">
        <f>ROUND(F238*G238,2)</f>
        <v>0</v>
      </c>
      <c r="K238" s="25" t="s">
        <v>56</v>
      </c>
      <c r="Z238" s="24">
        <f>ROUND(IF(AQ238="5",BJ238,0),2)</f>
        <v>0</v>
      </c>
      <c r="AB238" s="24">
        <f>ROUND(IF(AQ238="1",BH238,0),2)</f>
        <v>0</v>
      </c>
      <c r="AC238" s="24">
        <f>ROUND(IF(AQ238="1",BI238,0),2)</f>
        <v>0</v>
      </c>
      <c r="AD238" s="24">
        <f>ROUND(IF(AQ238="7",BH238,0),2)</f>
        <v>0</v>
      </c>
      <c r="AE238" s="24">
        <f>ROUND(IF(AQ238="7",BI238,0),2)</f>
        <v>0</v>
      </c>
      <c r="AF238" s="24">
        <f>ROUND(IF(AQ238="2",BH238,0),2)</f>
        <v>0</v>
      </c>
      <c r="AG238" s="24">
        <f>ROUND(IF(AQ238="2",BI238,0),2)</f>
        <v>0</v>
      </c>
      <c r="AH238" s="24">
        <f>ROUND(IF(AQ238="0",BJ238,0),2)</f>
        <v>0</v>
      </c>
      <c r="AI238" s="10" t="s">
        <v>49</v>
      </c>
      <c r="AJ238" s="24">
        <f>IF(AN238=0,J238,0)</f>
        <v>0</v>
      </c>
      <c r="AK238" s="24">
        <f>IF(AN238=12,J238,0)</f>
        <v>0</v>
      </c>
      <c r="AL238" s="24">
        <f>IF(AN238=21,J238,0)</f>
        <v>0</v>
      </c>
      <c r="AN238" s="24">
        <v>12</v>
      </c>
      <c r="AO238" s="24">
        <f>G238*0</f>
        <v>0</v>
      </c>
      <c r="AP238" s="24">
        <f>G238*(1-0)</f>
        <v>0</v>
      </c>
      <c r="AQ238" s="26" t="s">
        <v>80</v>
      </c>
      <c r="AV238" s="24">
        <f>ROUND(AW238+AX238,2)</f>
        <v>0</v>
      </c>
      <c r="AW238" s="24">
        <f>ROUND(F238*AO238,2)</f>
        <v>0</v>
      </c>
      <c r="AX238" s="24">
        <f>ROUND(F238*AP238,2)</f>
        <v>0</v>
      </c>
      <c r="AY238" s="26" t="s">
        <v>523</v>
      </c>
      <c r="AZ238" s="26" t="s">
        <v>308</v>
      </c>
      <c r="BA238" s="10" t="s">
        <v>59</v>
      </c>
      <c r="BC238" s="24">
        <f>AW238+AX238</f>
        <v>0</v>
      </c>
      <c r="BD238" s="24">
        <f>G238/(100-BE238)*100</f>
        <v>0</v>
      </c>
      <c r="BE238" s="24">
        <v>0</v>
      </c>
      <c r="BF238" s="24">
        <f>238</f>
        <v>238</v>
      </c>
      <c r="BH238" s="24">
        <f>F238*AO238</f>
        <v>0</v>
      </c>
      <c r="BI238" s="24">
        <f>F238*AP238</f>
        <v>0</v>
      </c>
      <c r="BJ238" s="24">
        <f>F238*G238</f>
        <v>0</v>
      </c>
      <c r="BK238" s="24"/>
      <c r="BL238" s="24"/>
      <c r="BW238" s="24">
        <v>12</v>
      </c>
      <c r="BX238" s="4" t="s">
        <v>543</v>
      </c>
    </row>
    <row r="239" spans="1:76" ht="14.4" x14ac:dyDescent="0.3">
      <c r="A239" s="2" t="s">
        <v>544</v>
      </c>
      <c r="B239" s="3" t="s">
        <v>545</v>
      </c>
      <c r="C239" s="89" t="s">
        <v>546</v>
      </c>
      <c r="D239" s="90"/>
      <c r="E239" s="3" t="s">
        <v>83</v>
      </c>
      <c r="F239" s="24">
        <v>16</v>
      </c>
      <c r="G239" s="24">
        <v>0</v>
      </c>
      <c r="H239" s="24">
        <f>ROUND(F239*AO239,2)</f>
        <v>0</v>
      </c>
      <c r="I239" s="24">
        <f>ROUND(F239*AP239,2)</f>
        <v>0</v>
      </c>
      <c r="J239" s="24">
        <f>ROUND(F239*G239,2)</f>
        <v>0</v>
      </c>
      <c r="K239" s="25" t="s">
        <v>56</v>
      </c>
      <c r="Z239" s="24">
        <f>ROUND(IF(AQ239="5",BJ239,0),2)</f>
        <v>0</v>
      </c>
      <c r="AB239" s="24">
        <f>ROUND(IF(AQ239="1",BH239,0),2)</f>
        <v>0</v>
      </c>
      <c r="AC239" s="24">
        <f>ROUND(IF(AQ239="1",BI239,0),2)</f>
        <v>0</v>
      </c>
      <c r="AD239" s="24">
        <f>ROUND(IF(AQ239="7",BH239,0),2)</f>
        <v>0</v>
      </c>
      <c r="AE239" s="24">
        <f>ROUND(IF(AQ239="7",BI239,0),2)</f>
        <v>0</v>
      </c>
      <c r="AF239" s="24">
        <f>ROUND(IF(AQ239="2",BH239,0),2)</f>
        <v>0</v>
      </c>
      <c r="AG239" s="24">
        <f>ROUND(IF(AQ239="2",BI239,0),2)</f>
        <v>0</v>
      </c>
      <c r="AH239" s="24">
        <f>ROUND(IF(AQ239="0",BJ239,0),2)</f>
        <v>0</v>
      </c>
      <c r="AI239" s="10" t="s">
        <v>49</v>
      </c>
      <c r="AJ239" s="24">
        <f>IF(AN239=0,J239,0)</f>
        <v>0</v>
      </c>
      <c r="AK239" s="24">
        <f>IF(AN239=12,J239,0)</f>
        <v>0</v>
      </c>
      <c r="AL239" s="24">
        <f>IF(AN239=21,J239,0)</f>
        <v>0</v>
      </c>
      <c r="AN239" s="24">
        <v>12</v>
      </c>
      <c r="AO239" s="24">
        <f>G239*0</f>
        <v>0</v>
      </c>
      <c r="AP239" s="24">
        <f>G239*(1-0)</f>
        <v>0</v>
      </c>
      <c r="AQ239" s="26" t="s">
        <v>80</v>
      </c>
      <c r="AV239" s="24">
        <f>ROUND(AW239+AX239,2)</f>
        <v>0</v>
      </c>
      <c r="AW239" s="24">
        <f>ROUND(F239*AO239,2)</f>
        <v>0</v>
      </c>
      <c r="AX239" s="24">
        <f>ROUND(F239*AP239,2)</f>
        <v>0</v>
      </c>
      <c r="AY239" s="26" t="s">
        <v>523</v>
      </c>
      <c r="AZ239" s="26" t="s">
        <v>308</v>
      </c>
      <c r="BA239" s="10" t="s">
        <v>59</v>
      </c>
      <c r="BC239" s="24">
        <f>AW239+AX239</f>
        <v>0</v>
      </c>
      <c r="BD239" s="24">
        <f>G239/(100-BE239)*100</f>
        <v>0</v>
      </c>
      <c r="BE239" s="24">
        <v>0</v>
      </c>
      <c r="BF239" s="24">
        <f>239</f>
        <v>239</v>
      </c>
      <c r="BH239" s="24">
        <f>F239*AO239</f>
        <v>0</v>
      </c>
      <c r="BI239" s="24">
        <f>F239*AP239</f>
        <v>0</v>
      </c>
      <c r="BJ239" s="24">
        <f>F239*G239</f>
        <v>0</v>
      </c>
      <c r="BK239" s="24"/>
      <c r="BL239" s="24"/>
      <c r="BW239" s="24">
        <v>12</v>
      </c>
      <c r="BX239" s="4" t="s">
        <v>546</v>
      </c>
    </row>
    <row r="240" spans="1:76" ht="14.4" x14ac:dyDescent="0.3">
      <c r="A240" s="2" t="s">
        <v>547</v>
      </c>
      <c r="B240" s="3" t="s">
        <v>548</v>
      </c>
      <c r="C240" s="89" t="s">
        <v>549</v>
      </c>
      <c r="D240" s="90"/>
      <c r="E240" s="3" t="s">
        <v>400</v>
      </c>
      <c r="F240" s="24">
        <v>50</v>
      </c>
      <c r="G240" s="24">
        <v>0</v>
      </c>
      <c r="H240" s="24">
        <f>ROUND(F240*AO240,2)</f>
        <v>0</v>
      </c>
      <c r="I240" s="24">
        <f>ROUND(F240*AP240,2)</f>
        <v>0</v>
      </c>
      <c r="J240" s="24">
        <f>ROUND(F240*G240,2)</f>
        <v>0</v>
      </c>
      <c r="K240" s="25" t="s">
        <v>56</v>
      </c>
      <c r="Z240" s="24">
        <f>ROUND(IF(AQ240="5",BJ240,0),2)</f>
        <v>0</v>
      </c>
      <c r="AB240" s="24">
        <f>ROUND(IF(AQ240="1",BH240,0),2)</f>
        <v>0</v>
      </c>
      <c r="AC240" s="24">
        <f>ROUND(IF(AQ240="1",BI240,0),2)</f>
        <v>0</v>
      </c>
      <c r="AD240" s="24">
        <f>ROUND(IF(AQ240="7",BH240,0),2)</f>
        <v>0</v>
      </c>
      <c r="AE240" s="24">
        <f>ROUND(IF(AQ240="7",BI240,0),2)</f>
        <v>0</v>
      </c>
      <c r="AF240" s="24">
        <f>ROUND(IF(AQ240="2",BH240,0),2)</f>
        <v>0</v>
      </c>
      <c r="AG240" s="24">
        <f>ROUND(IF(AQ240="2",BI240,0),2)</f>
        <v>0</v>
      </c>
      <c r="AH240" s="24">
        <f>ROUND(IF(AQ240="0",BJ240,0),2)</f>
        <v>0</v>
      </c>
      <c r="AI240" s="10" t="s">
        <v>49</v>
      </c>
      <c r="AJ240" s="24">
        <f>IF(AN240=0,J240,0)</f>
        <v>0</v>
      </c>
      <c r="AK240" s="24">
        <f>IF(AN240=12,J240,0)</f>
        <v>0</v>
      </c>
      <c r="AL240" s="24">
        <f>IF(AN240=21,J240,0)</f>
        <v>0</v>
      </c>
      <c r="AN240" s="24">
        <v>12</v>
      </c>
      <c r="AO240" s="24">
        <f>G240*0</f>
        <v>0</v>
      </c>
      <c r="AP240" s="24">
        <f>G240*(1-0)</f>
        <v>0</v>
      </c>
      <c r="AQ240" s="26" t="s">
        <v>80</v>
      </c>
      <c r="AV240" s="24">
        <f>ROUND(AW240+AX240,2)</f>
        <v>0</v>
      </c>
      <c r="AW240" s="24">
        <f>ROUND(F240*AO240,2)</f>
        <v>0</v>
      </c>
      <c r="AX240" s="24">
        <f>ROUND(F240*AP240,2)</f>
        <v>0</v>
      </c>
      <c r="AY240" s="26" t="s">
        <v>523</v>
      </c>
      <c r="AZ240" s="26" t="s">
        <v>308</v>
      </c>
      <c r="BA240" s="10" t="s">
        <v>59</v>
      </c>
      <c r="BC240" s="24">
        <f>AW240+AX240</f>
        <v>0</v>
      </c>
      <c r="BD240" s="24">
        <f>G240/(100-BE240)*100</f>
        <v>0</v>
      </c>
      <c r="BE240" s="24">
        <v>0</v>
      </c>
      <c r="BF240" s="24">
        <f>240</f>
        <v>240</v>
      </c>
      <c r="BH240" s="24">
        <f>F240*AO240</f>
        <v>0</v>
      </c>
      <c r="BI240" s="24">
        <f>F240*AP240</f>
        <v>0</v>
      </c>
      <c r="BJ240" s="24">
        <f>F240*G240</f>
        <v>0</v>
      </c>
      <c r="BK240" s="24"/>
      <c r="BL240" s="24"/>
      <c r="BW240" s="24">
        <v>12</v>
      </c>
      <c r="BX240" s="4" t="s">
        <v>549</v>
      </c>
    </row>
    <row r="241" spans="1:76" ht="39.6" x14ac:dyDescent="0.3">
      <c r="A241" s="27"/>
      <c r="B241" s="28" t="s">
        <v>63</v>
      </c>
      <c r="C241" s="95" t="s">
        <v>748</v>
      </c>
      <c r="D241" s="96"/>
      <c r="E241" s="96"/>
      <c r="F241" s="96"/>
      <c r="G241" s="96"/>
      <c r="H241" s="96"/>
      <c r="I241" s="96"/>
      <c r="J241" s="96"/>
      <c r="K241" s="97"/>
      <c r="BX241" s="29" t="s">
        <v>550</v>
      </c>
    </row>
    <row r="242" spans="1:76" ht="14.4" x14ac:dyDescent="0.3">
      <c r="A242" s="2" t="s">
        <v>551</v>
      </c>
      <c r="B242" s="3" t="s">
        <v>552</v>
      </c>
      <c r="C242" s="89" t="s">
        <v>553</v>
      </c>
      <c r="D242" s="90"/>
      <c r="E242" s="3" t="s">
        <v>400</v>
      </c>
      <c r="F242" s="24">
        <v>36.1</v>
      </c>
      <c r="G242" s="24">
        <v>0</v>
      </c>
      <c r="H242" s="24">
        <f>ROUND(F242*AO242,2)</f>
        <v>0</v>
      </c>
      <c r="I242" s="24">
        <f>ROUND(F242*AP242,2)</f>
        <v>0</v>
      </c>
      <c r="J242" s="24">
        <f>ROUND(F242*G242,2)</f>
        <v>0</v>
      </c>
      <c r="K242" s="25" t="s">
        <v>56</v>
      </c>
      <c r="Z242" s="24">
        <f>ROUND(IF(AQ242="5",BJ242,0),2)</f>
        <v>0</v>
      </c>
      <c r="AB242" s="24">
        <f>ROUND(IF(AQ242="1",BH242,0),2)</f>
        <v>0</v>
      </c>
      <c r="AC242" s="24">
        <f>ROUND(IF(AQ242="1",BI242,0),2)</f>
        <v>0</v>
      </c>
      <c r="AD242" s="24">
        <f>ROUND(IF(AQ242="7",BH242,0),2)</f>
        <v>0</v>
      </c>
      <c r="AE242" s="24">
        <f>ROUND(IF(AQ242="7",BI242,0),2)</f>
        <v>0</v>
      </c>
      <c r="AF242" s="24">
        <f>ROUND(IF(AQ242="2",BH242,0),2)</f>
        <v>0</v>
      </c>
      <c r="AG242" s="24">
        <f>ROUND(IF(AQ242="2",BI242,0),2)</f>
        <v>0</v>
      </c>
      <c r="AH242" s="24">
        <f>ROUND(IF(AQ242="0",BJ242,0),2)</f>
        <v>0</v>
      </c>
      <c r="AI242" s="10" t="s">
        <v>49</v>
      </c>
      <c r="AJ242" s="24">
        <f>IF(AN242=0,J242,0)</f>
        <v>0</v>
      </c>
      <c r="AK242" s="24">
        <f>IF(AN242=12,J242,0)</f>
        <v>0</v>
      </c>
      <c r="AL242" s="24">
        <f>IF(AN242=21,J242,0)</f>
        <v>0</v>
      </c>
      <c r="AN242" s="24">
        <v>12</v>
      </c>
      <c r="AO242" s="24">
        <f>G242*0</f>
        <v>0</v>
      </c>
      <c r="AP242" s="24">
        <f>G242*(1-0)</f>
        <v>0</v>
      </c>
      <c r="AQ242" s="26" t="s">
        <v>80</v>
      </c>
      <c r="AV242" s="24">
        <f>ROUND(AW242+AX242,2)</f>
        <v>0</v>
      </c>
      <c r="AW242" s="24">
        <f>ROUND(F242*AO242,2)</f>
        <v>0</v>
      </c>
      <c r="AX242" s="24">
        <f>ROUND(F242*AP242,2)</f>
        <v>0</v>
      </c>
      <c r="AY242" s="26" t="s">
        <v>523</v>
      </c>
      <c r="AZ242" s="26" t="s">
        <v>308</v>
      </c>
      <c r="BA242" s="10" t="s">
        <v>59</v>
      </c>
      <c r="BC242" s="24">
        <f>AW242+AX242</f>
        <v>0</v>
      </c>
      <c r="BD242" s="24">
        <f>G242/(100-BE242)*100</f>
        <v>0</v>
      </c>
      <c r="BE242" s="24">
        <v>0</v>
      </c>
      <c r="BF242" s="24">
        <f>242</f>
        <v>242</v>
      </c>
      <c r="BH242" s="24">
        <f>F242*AO242</f>
        <v>0</v>
      </c>
      <c r="BI242" s="24">
        <f>F242*AP242</f>
        <v>0</v>
      </c>
      <c r="BJ242" s="24">
        <f>F242*G242</f>
        <v>0</v>
      </c>
      <c r="BK242" s="24"/>
      <c r="BL242" s="24"/>
      <c r="BW242" s="24">
        <v>12</v>
      </c>
      <c r="BX242" s="4" t="s">
        <v>553</v>
      </c>
    </row>
    <row r="243" spans="1:76" ht="14.4" x14ac:dyDescent="0.3">
      <c r="A243" s="2" t="s">
        <v>554</v>
      </c>
      <c r="B243" s="3" t="s">
        <v>555</v>
      </c>
      <c r="C243" s="89" t="s">
        <v>556</v>
      </c>
      <c r="D243" s="90"/>
      <c r="E243" s="3" t="s">
        <v>400</v>
      </c>
      <c r="F243" s="24">
        <v>13.8</v>
      </c>
      <c r="G243" s="24">
        <v>0</v>
      </c>
      <c r="H243" s="24">
        <f>ROUND(F243*AO243,2)</f>
        <v>0</v>
      </c>
      <c r="I243" s="24">
        <f>ROUND(F243*AP243,2)</f>
        <v>0</v>
      </c>
      <c r="J243" s="24">
        <f>ROUND(F243*G243,2)</f>
        <v>0</v>
      </c>
      <c r="K243" s="25" t="s">
        <v>557</v>
      </c>
      <c r="Z243" s="24">
        <f>ROUND(IF(AQ243="5",BJ243,0),2)</f>
        <v>0</v>
      </c>
      <c r="AB243" s="24">
        <f>ROUND(IF(AQ243="1",BH243,0),2)</f>
        <v>0</v>
      </c>
      <c r="AC243" s="24">
        <f>ROUND(IF(AQ243="1",BI243,0),2)</f>
        <v>0</v>
      </c>
      <c r="AD243" s="24">
        <f>ROUND(IF(AQ243="7",BH243,0),2)</f>
        <v>0</v>
      </c>
      <c r="AE243" s="24">
        <f>ROUND(IF(AQ243="7",BI243,0),2)</f>
        <v>0</v>
      </c>
      <c r="AF243" s="24">
        <f>ROUND(IF(AQ243="2",BH243,0),2)</f>
        <v>0</v>
      </c>
      <c r="AG243" s="24">
        <f>ROUND(IF(AQ243="2",BI243,0),2)</f>
        <v>0</v>
      </c>
      <c r="AH243" s="24">
        <f>ROUND(IF(AQ243="0",BJ243,0),2)</f>
        <v>0</v>
      </c>
      <c r="AI243" s="10" t="s">
        <v>49</v>
      </c>
      <c r="AJ243" s="24">
        <f>IF(AN243=0,J243,0)</f>
        <v>0</v>
      </c>
      <c r="AK243" s="24">
        <f>IF(AN243=12,J243,0)</f>
        <v>0</v>
      </c>
      <c r="AL243" s="24">
        <f>IF(AN243=21,J243,0)</f>
        <v>0</v>
      </c>
      <c r="AN243" s="24">
        <v>12</v>
      </c>
      <c r="AO243" s="24">
        <f>G243*0</f>
        <v>0</v>
      </c>
      <c r="AP243" s="24">
        <f>G243*(1-0)</f>
        <v>0</v>
      </c>
      <c r="AQ243" s="26" t="s">
        <v>80</v>
      </c>
      <c r="AV243" s="24">
        <f>ROUND(AW243+AX243,2)</f>
        <v>0</v>
      </c>
      <c r="AW243" s="24">
        <f>ROUND(F243*AO243,2)</f>
        <v>0</v>
      </c>
      <c r="AX243" s="24">
        <f>ROUND(F243*AP243,2)</f>
        <v>0</v>
      </c>
      <c r="AY243" s="26" t="s">
        <v>523</v>
      </c>
      <c r="AZ243" s="26" t="s">
        <v>308</v>
      </c>
      <c r="BA243" s="10" t="s">
        <v>59</v>
      </c>
      <c r="BC243" s="24">
        <f>AW243+AX243</f>
        <v>0</v>
      </c>
      <c r="BD243" s="24">
        <f>G243/(100-BE243)*100</f>
        <v>0</v>
      </c>
      <c r="BE243" s="24">
        <v>0</v>
      </c>
      <c r="BF243" s="24">
        <f>243</f>
        <v>243</v>
      </c>
      <c r="BH243" s="24">
        <f>F243*AO243</f>
        <v>0</v>
      </c>
      <c r="BI243" s="24">
        <f>F243*AP243</f>
        <v>0</v>
      </c>
      <c r="BJ243" s="24">
        <f>F243*G243</f>
        <v>0</v>
      </c>
      <c r="BK243" s="24"/>
      <c r="BL243" s="24"/>
      <c r="BW243" s="24">
        <v>12</v>
      </c>
      <c r="BX243" s="4" t="s">
        <v>556</v>
      </c>
    </row>
    <row r="244" spans="1:76" ht="14.4" x14ac:dyDescent="0.3">
      <c r="A244" s="2" t="s">
        <v>558</v>
      </c>
      <c r="B244" s="3" t="s">
        <v>559</v>
      </c>
      <c r="C244" s="89" t="s">
        <v>560</v>
      </c>
      <c r="D244" s="90"/>
      <c r="E244" s="3" t="s">
        <v>400</v>
      </c>
      <c r="F244" s="24">
        <v>1</v>
      </c>
      <c r="G244" s="24">
        <v>0</v>
      </c>
      <c r="H244" s="24">
        <f>ROUND(F244*AO244,2)</f>
        <v>0</v>
      </c>
      <c r="I244" s="24">
        <f>ROUND(F244*AP244,2)</f>
        <v>0</v>
      </c>
      <c r="J244" s="24">
        <f>ROUND(F244*G244,2)</f>
        <v>0</v>
      </c>
      <c r="K244" s="25" t="s">
        <v>56</v>
      </c>
      <c r="Z244" s="24">
        <f>ROUND(IF(AQ244="5",BJ244,0),2)</f>
        <v>0</v>
      </c>
      <c r="AB244" s="24">
        <f>ROUND(IF(AQ244="1",BH244,0),2)</f>
        <v>0</v>
      </c>
      <c r="AC244" s="24">
        <f>ROUND(IF(AQ244="1",BI244,0),2)</f>
        <v>0</v>
      </c>
      <c r="AD244" s="24">
        <f>ROUND(IF(AQ244="7",BH244,0),2)</f>
        <v>0</v>
      </c>
      <c r="AE244" s="24">
        <f>ROUND(IF(AQ244="7",BI244,0),2)</f>
        <v>0</v>
      </c>
      <c r="AF244" s="24">
        <f>ROUND(IF(AQ244="2",BH244,0),2)</f>
        <v>0</v>
      </c>
      <c r="AG244" s="24">
        <f>ROUND(IF(AQ244="2",BI244,0),2)</f>
        <v>0</v>
      </c>
      <c r="AH244" s="24">
        <f>ROUND(IF(AQ244="0",BJ244,0),2)</f>
        <v>0</v>
      </c>
      <c r="AI244" s="10" t="s">
        <v>49</v>
      </c>
      <c r="AJ244" s="24">
        <f>IF(AN244=0,J244,0)</f>
        <v>0</v>
      </c>
      <c r="AK244" s="24">
        <f>IF(AN244=12,J244,0)</f>
        <v>0</v>
      </c>
      <c r="AL244" s="24">
        <f>IF(AN244=21,J244,0)</f>
        <v>0</v>
      </c>
      <c r="AN244" s="24">
        <v>12</v>
      </c>
      <c r="AO244" s="24">
        <f>G244*0</f>
        <v>0</v>
      </c>
      <c r="AP244" s="24">
        <f>G244*(1-0)</f>
        <v>0</v>
      </c>
      <c r="AQ244" s="26" t="s">
        <v>80</v>
      </c>
      <c r="AV244" s="24">
        <f>ROUND(AW244+AX244,2)</f>
        <v>0</v>
      </c>
      <c r="AW244" s="24">
        <f>ROUND(F244*AO244,2)</f>
        <v>0</v>
      </c>
      <c r="AX244" s="24">
        <f>ROUND(F244*AP244,2)</f>
        <v>0</v>
      </c>
      <c r="AY244" s="26" t="s">
        <v>523</v>
      </c>
      <c r="AZ244" s="26" t="s">
        <v>308</v>
      </c>
      <c r="BA244" s="10" t="s">
        <v>59</v>
      </c>
      <c r="BC244" s="24">
        <f>AW244+AX244</f>
        <v>0</v>
      </c>
      <c r="BD244" s="24">
        <f>G244/(100-BE244)*100</f>
        <v>0</v>
      </c>
      <c r="BE244" s="24">
        <v>0</v>
      </c>
      <c r="BF244" s="24">
        <f>244</f>
        <v>244</v>
      </c>
      <c r="BH244" s="24">
        <f>F244*AO244</f>
        <v>0</v>
      </c>
      <c r="BI244" s="24">
        <f>F244*AP244</f>
        <v>0</v>
      </c>
      <c r="BJ244" s="24">
        <f>F244*G244</f>
        <v>0</v>
      </c>
      <c r="BK244" s="24"/>
      <c r="BL244" s="24"/>
      <c r="BW244" s="24">
        <v>12</v>
      </c>
      <c r="BX244" s="4" t="s">
        <v>560</v>
      </c>
    </row>
    <row r="245" spans="1:76" ht="14.4" x14ac:dyDescent="0.3">
      <c r="A245" s="27"/>
      <c r="B245" s="28"/>
      <c r="C245" s="95"/>
      <c r="D245" s="96"/>
      <c r="E245" s="96"/>
      <c r="F245" s="96"/>
      <c r="G245" s="96"/>
      <c r="H245" s="96"/>
      <c r="I245" s="96"/>
      <c r="J245" s="96"/>
      <c r="K245" s="97"/>
      <c r="BX245" s="29" t="s">
        <v>561</v>
      </c>
    </row>
    <row r="246" spans="1:76" ht="14.4" x14ac:dyDescent="0.3">
      <c r="A246" s="30" t="s">
        <v>49</v>
      </c>
      <c r="B246" s="31" t="s">
        <v>562</v>
      </c>
      <c r="C246" s="91" t="s">
        <v>563</v>
      </c>
      <c r="D246" s="92"/>
      <c r="E246" s="32" t="s">
        <v>4</v>
      </c>
      <c r="F246" s="32" t="s">
        <v>4</v>
      </c>
      <c r="G246" s="32" t="s">
        <v>4</v>
      </c>
      <c r="H246" s="1">
        <f>SUM(H247:H253)</f>
        <v>0</v>
      </c>
      <c r="I246" s="1">
        <f>SUM(I247:I253)</f>
        <v>0</v>
      </c>
      <c r="J246" s="1">
        <f>SUM(J247:J253)</f>
        <v>0</v>
      </c>
      <c r="K246" s="33" t="s">
        <v>49</v>
      </c>
      <c r="AI246" s="10" t="s">
        <v>49</v>
      </c>
      <c r="AS246" s="1">
        <f>SUM(AJ247:AJ253)</f>
        <v>0</v>
      </c>
      <c r="AT246" s="1">
        <f>SUM(AK247:AK253)</f>
        <v>0</v>
      </c>
      <c r="AU246" s="1">
        <f>SUM(AL247:AL253)</f>
        <v>0</v>
      </c>
    </row>
    <row r="247" spans="1:76" ht="14.4" x14ac:dyDescent="0.3">
      <c r="A247" s="2" t="s">
        <v>564</v>
      </c>
      <c r="B247" s="3" t="s">
        <v>565</v>
      </c>
      <c r="C247" s="89" t="s">
        <v>566</v>
      </c>
      <c r="D247" s="90"/>
      <c r="E247" s="3" t="s">
        <v>277</v>
      </c>
      <c r="F247" s="24">
        <v>1</v>
      </c>
      <c r="G247" s="24">
        <f>'VV-výkaz materiálu střecha'!G86</f>
        <v>0</v>
      </c>
      <c r="H247" s="24">
        <f>ROUND(F247*AO247,2)</f>
        <v>0</v>
      </c>
      <c r="I247" s="24">
        <f>ROUND(F247*AP247,2)</f>
        <v>0</v>
      </c>
      <c r="J247" s="24">
        <f>ROUND(F247*G247,2)</f>
        <v>0</v>
      </c>
      <c r="K247" s="25" t="s">
        <v>49</v>
      </c>
      <c r="Z247" s="24">
        <f>ROUND(IF(AQ247="5",BJ247,0),2)</f>
        <v>0</v>
      </c>
      <c r="AB247" s="24">
        <f>ROUND(IF(AQ247="1",BH247,0),2)</f>
        <v>0</v>
      </c>
      <c r="AC247" s="24">
        <f>ROUND(IF(AQ247="1",BI247,0),2)</f>
        <v>0</v>
      </c>
      <c r="AD247" s="24">
        <f>ROUND(IF(AQ247="7",BH247,0),2)</f>
        <v>0</v>
      </c>
      <c r="AE247" s="24">
        <f>ROUND(IF(AQ247="7",BI247,0),2)</f>
        <v>0</v>
      </c>
      <c r="AF247" s="24">
        <f>ROUND(IF(AQ247="2",BH247,0),2)</f>
        <v>0</v>
      </c>
      <c r="AG247" s="24">
        <f>ROUND(IF(AQ247="2",BI247,0),2)</f>
        <v>0</v>
      </c>
      <c r="AH247" s="24">
        <f>ROUND(IF(AQ247="0",BJ247,0),2)</f>
        <v>0</v>
      </c>
      <c r="AI247" s="10" t="s">
        <v>49</v>
      </c>
      <c r="AJ247" s="24">
        <f>IF(AN247=0,J247,0)</f>
        <v>0</v>
      </c>
      <c r="AK247" s="24">
        <f>IF(AN247=12,J247,0)</f>
        <v>0</v>
      </c>
      <c r="AL247" s="24">
        <f>IF(AN247=21,J247,0)</f>
        <v>0</v>
      </c>
      <c r="AN247" s="24">
        <v>12</v>
      </c>
      <c r="AO247" s="24">
        <f>G247*1</f>
        <v>0</v>
      </c>
      <c r="AP247" s="24">
        <f>G247*(1-1)</f>
        <v>0</v>
      </c>
      <c r="AQ247" s="26" t="s">
        <v>567</v>
      </c>
      <c r="AV247" s="24">
        <f>ROUND(AW247+AX247,2)</f>
        <v>0</v>
      </c>
      <c r="AW247" s="24">
        <f>ROUND(F247*AO247,2)</f>
        <v>0</v>
      </c>
      <c r="AX247" s="24">
        <f>ROUND(F247*AP247,2)</f>
        <v>0</v>
      </c>
      <c r="AY247" s="26" t="s">
        <v>568</v>
      </c>
      <c r="AZ247" s="26" t="s">
        <v>569</v>
      </c>
      <c r="BA247" s="10" t="s">
        <v>59</v>
      </c>
      <c r="BC247" s="24">
        <f>AW247+AX247</f>
        <v>0</v>
      </c>
      <c r="BD247" s="24">
        <f>G247/(100-BE247)*100</f>
        <v>0</v>
      </c>
      <c r="BE247" s="24">
        <v>0</v>
      </c>
      <c r="BF247" s="24">
        <f>247</f>
        <v>247</v>
      </c>
      <c r="BH247" s="24">
        <f>F247*AO247</f>
        <v>0</v>
      </c>
      <c r="BI247" s="24">
        <f>F247*AP247</f>
        <v>0</v>
      </c>
      <c r="BJ247" s="24">
        <f>F247*G247</f>
        <v>0</v>
      </c>
      <c r="BK247" s="24"/>
      <c r="BL247" s="24"/>
      <c r="BW247" s="24">
        <v>12</v>
      </c>
      <c r="BX247" s="4" t="s">
        <v>566</v>
      </c>
    </row>
    <row r="248" spans="1:76" ht="14.4" x14ac:dyDescent="0.3">
      <c r="A248" s="2" t="s">
        <v>570</v>
      </c>
      <c r="B248" s="3" t="s">
        <v>571</v>
      </c>
      <c r="C248" s="89" t="s">
        <v>572</v>
      </c>
      <c r="D248" s="90"/>
      <c r="E248" s="3" t="s">
        <v>573</v>
      </c>
      <c r="F248" s="24">
        <v>32</v>
      </c>
      <c r="G248" s="24">
        <v>0</v>
      </c>
      <c r="H248" s="24">
        <f>ROUND(F248*AO248,2)</f>
        <v>0</v>
      </c>
      <c r="I248" s="24">
        <f>ROUND(F248*AP248,2)</f>
        <v>0</v>
      </c>
      <c r="J248" s="24">
        <f>ROUND(F248*G248,2)</f>
        <v>0</v>
      </c>
      <c r="K248" s="25" t="s">
        <v>56</v>
      </c>
      <c r="Z248" s="24">
        <f>ROUND(IF(AQ248="5",BJ248,0),2)</f>
        <v>0</v>
      </c>
      <c r="AB248" s="24">
        <f>ROUND(IF(AQ248="1",BH248,0),2)</f>
        <v>0</v>
      </c>
      <c r="AC248" s="24">
        <f>ROUND(IF(AQ248="1",BI248,0),2)</f>
        <v>0</v>
      </c>
      <c r="AD248" s="24">
        <f>ROUND(IF(AQ248="7",BH248,0),2)</f>
        <v>0</v>
      </c>
      <c r="AE248" s="24">
        <f>ROUND(IF(AQ248="7",BI248,0),2)</f>
        <v>0</v>
      </c>
      <c r="AF248" s="24">
        <f>ROUND(IF(AQ248="2",BH248,0),2)</f>
        <v>0</v>
      </c>
      <c r="AG248" s="24">
        <f>ROUND(IF(AQ248="2",BI248,0),2)</f>
        <v>0</v>
      </c>
      <c r="AH248" s="24">
        <f>ROUND(IF(AQ248="0",BJ248,0),2)</f>
        <v>0</v>
      </c>
      <c r="AI248" s="10" t="s">
        <v>49</v>
      </c>
      <c r="AJ248" s="24">
        <f>IF(AN248=0,J248,0)</f>
        <v>0</v>
      </c>
      <c r="AK248" s="24">
        <f>IF(AN248=12,J248,0)</f>
        <v>0</v>
      </c>
      <c r="AL248" s="24">
        <f>IF(AN248=21,J248,0)</f>
        <v>0</v>
      </c>
      <c r="AN248" s="24">
        <v>12</v>
      </c>
      <c r="AO248" s="24">
        <f>G248*1</f>
        <v>0</v>
      </c>
      <c r="AP248" s="24">
        <f>G248*(1-1)</f>
        <v>0</v>
      </c>
      <c r="AQ248" s="26" t="s">
        <v>567</v>
      </c>
      <c r="AV248" s="24">
        <f>ROUND(AW248+AX248,2)</f>
        <v>0</v>
      </c>
      <c r="AW248" s="24">
        <f>ROUND(F248*AO248,2)</f>
        <v>0</v>
      </c>
      <c r="AX248" s="24">
        <f>ROUND(F248*AP248,2)</f>
        <v>0</v>
      </c>
      <c r="AY248" s="26" t="s">
        <v>568</v>
      </c>
      <c r="AZ248" s="26" t="s">
        <v>569</v>
      </c>
      <c r="BA248" s="10" t="s">
        <v>59</v>
      </c>
      <c r="BC248" s="24">
        <f>AW248+AX248</f>
        <v>0</v>
      </c>
      <c r="BD248" s="24">
        <f>G248/(100-BE248)*100</f>
        <v>0</v>
      </c>
      <c r="BE248" s="24">
        <v>0</v>
      </c>
      <c r="BF248" s="24">
        <f>248</f>
        <v>248</v>
      </c>
      <c r="BH248" s="24">
        <f>F248*AO248</f>
        <v>0</v>
      </c>
      <c r="BI248" s="24">
        <f>F248*AP248</f>
        <v>0</v>
      </c>
      <c r="BJ248" s="24">
        <f>F248*G248</f>
        <v>0</v>
      </c>
      <c r="BK248" s="24"/>
      <c r="BL248" s="24"/>
      <c r="BW248" s="24">
        <v>12</v>
      </c>
      <c r="BX248" s="4" t="s">
        <v>572</v>
      </c>
    </row>
    <row r="249" spans="1:76" ht="26.4" x14ac:dyDescent="0.3">
      <c r="A249" s="27"/>
      <c r="B249" s="28" t="s">
        <v>63</v>
      </c>
      <c r="C249" s="95" t="s">
        <v>749</v>
      </c>
      <c r="D249" s="96"/>
      <c r="E249" s="96"/>
      <c r="F249" s="96"/>
      <c r="G249" s="96"/>
      <c r="H249" s="96"/>
      <c r="I249" s="96"/>
      <c r="J249" s="96"/>
      <c r="K249" s="97"/>
      <c r="BX249" s="29" t="s">
        <v>574</v>
      </c>
    </row>
    <row r="250" spans="1:76" ht="14.4" x14ac:dyDescent="0.3">
      <c r="A250" s="2" t="s">
        <v>575</v>
      </c>
      <c r="B250" s="3" t="s">
        <v>576</v>
      </c>
      <c r="C250" s="89" t="s">
        <v>577</v>
      </c>
      <c r="D250" s="90"/>
      <c r="E250" s="3" t="s">
        <v>102</v>
      </c>
      <c r="F250" s="24">
        <v>6</v>
      </c>
      <c r="G250" s="24">
        <v>0</v>
      </c>
      <c r="H250" s="24">
        <f>ROUND(F250*AO250,2)</f>
        <v>0</v>
      </c>
      <c r="I250" s="24">
        <f>ROUND(F250*AP250,2)</f>
        <v>0</v>
      </c>
      <c r="J250" s="24">
        <f>ROUND(F250*G250,2)</f>
        <v>0</v>
      </c>
      <c r="K250" s="25" t="s">
        <v>56</v>
      </c>
      <c r="Z250" s="24">
        <f>ROUND(IF(AQ250="5",BJ250,0),2)</f>
        <v>0</v>
      </c>
      <c r="AB250" s="24">
        <f>ROUND(IF(AQ250="1",BH250,0),2)</f>
        <v>0</v>
      </c>
      <c r="AC250" s="24">
        <f>ROUND(IF(AQ250="1",BI250,0),2)</f>
        <v>0</v>
      </c>
      <c r="AD250" s="24">
        <f>ROUND(IF(AQ250="7",BH250,0),2)</f>
        <v>0</v>
      </c>
      <c r="AE250" s="24">
        <f>ROUND(IF(AQ250="7",BI250,0),2)</f>
        <v>0</v>
      </c>
      <c r="AF250" s="24">
        <f>ROUND(IF(AQ250="2",BH250,0),2)</f>
        <v>0</v>
      </c>
      <c r="AG250" s="24">
        <f>ROUND(IF(AQ250="2",BI250,0),2)</f>
        <v>0</v>
      </c>
      <c r="AH250" s="24">
        <f>ROUND(IF(AQ250="0",BJ250,0),2)</f>
        <v>0</v>
      </c>
      <c r="AI250" s="10" t="s">
        <v>49</v>
      </c>
      <c r="AJ250" s="24">
        <f>IF(AN250=0,J250,0)</f>
        <v>0</v>
      </c>
      <c r="AK250" s="24">
        <f>IF(AN250=12,J250,0)</f>
        <v>0</v>
      </c>
      <c r="AL250" s="24">
        <f>IF(AN250=21,J250,0)</f>
        <v>0</v>
      </c>
      <c r="AN250" s="24">
        <v>12</v>
      </c>
      <c r="AO250" s="24">
        <f>G250*1</f>
        <v>0</v>
      </c>
      <c r="AP250" s="24">
        <f>G250*(1-1)</f>
        <v>0</v>
      </c>
      <c r="AQ250" s="26" t="s">
        <v>567</v>
      </c>
      <c r="AV250" s="24">
        <f>ROUND(AW250+AX250,2)</f>
        <v>0</v>
      </c>
      <c r="AW250" s="24">
        <f>ROUND(F250*AO250,2)</f>
        <v>0</v>
      </c>
      <c r="AX250" s="24">
        <f>ROUND(F250*AP250,2)</f>
        <v>0</v>
      </c>
      <c r="AY250" s="26" t="s">
        <v>568</v>
      </c>
      <c r="AZ250" s="26" t="s">
        <v>569</v>
      </c>
      <c r="BA250" s="10" t="s">
        <v>59</v>
      </c>
      <c r="BC250" s="24">
        <f>AW250+AX250</f>
        <v>0</v>
      </c>
      <c r="BD250" s="24">
        <f>G250/(100-BE250)*100</f>
        <v>0</v>
      </c>
      <c r="BE250" s="24">
        <v>0</v>
      </c>
      <c r="BF250" s="24">
        <f>250</f>
        <v>250</v>
      </c>
      <c r="BH250" s="24">
        <f>F250*AO250</f>
        <v>0</v>
      </c>
      <c r="BI250" s="24">
        <f>F250*AP250</f>
        <v>0</v>
      </c>
      <c r="BJ250" s="24">
        <f>F250*G250</f>
        <v>0</v>
      </c>
      <c r="BK250" s="24"/>
      <c r="BL250" s="24"/>
      <c r="BW250" s="24">
        <v>12</v>
      </c>
      <c r="BX250" s="4" t="s">
        <v>577</v>
      </c>
    </row>
    <row r="251" spans="1:76" ht="39.6" x14ac:dyDescent="0.3">
      <c r="A251" s="27"/>
      <c r="B251" s="28" t="s">
        <v>63</v>
      </c>
      <c r="C251" s="95" t="s">
        <v>578</v>
      </c>
      <c r="D251" s="96"/>
      <c r="E251" s="96"/>
      <c r="F251" s="96"/>
      <c r="G251" s="96"/>
      <c r="H251" s="96"/>
      <c r="I251" s="96"/>
      <c r="J251" s="96"/>
      <c r="K251" s="97"/>
      <c r="BX251" s="29" t="s">
        <v>578</v>
      </c>
    </row>
    <row r="252" spans="1:76" ht="14.4" x14ac:dyDescent="0.3">
      <c r="A252" s="2" t="s">
        <v>579</v>
      </c>
      <c r="B252" s="3" t="s">
        <v>580</v>
      </c>
      <c r="C252" s="89" t="s">
        <v>581</v>
      </c>
      <c r="D252" s="90"/>
      <c r="E252" s="3" t="s">
        <v>96</v>
      </c>
      <c r="F252" s="24">
        <v>4</v>
      </c>
      <c r="G252" s="24">
        <v>0</v>
      </c>
      <c r="H252" s="24">
        <f>ROUND(F252*AO252,2)</f>
        <v>0</v>
      </c>
      <c r="I252" s="24">
        <f>ROUND(F252*AP252,2)</f>
        <v>0</v>
      </c>
      <c r="J252" s="24">
        <f>ROUND(F252*G252,2)</f>
        <v>0</v>
      </c>
      <c r="K252" s="25" t="s">
        <v>56</v>
      </c>
      <c r="Z252" s="24">
        <f>ROUND(IF(AQ252="5",BJ252,0),2)</f>
        <v>0</v>
      </c>
      <c r="AB252" s="24">
        <f>ROUND(IF(AQ252="1",BH252,0),2)</f>
        <v>0</v>
      </c>
      <c r="AC252" s="24">
        <f>ROUND(IF(AQ252="1",BI252,0),2)</f>
        <v>0</v>
      </c>
      <c r="AD252" s="24">
        <f>ROUND(IF(AQ252="7",BH252,0),2)</f>
        <v>0</v>
      </c>
      <c r="AE252" s="24">
        <f>ROUND(IF(AQ252="7",BI252,0),2)</f>
        <v>0</v>
      </c>
      <c r="AF252" s="24">
        <f>ROUND(IF(AQ252="2",BH252,0),2)</f>
        <v>0</v>
      </c>
      <c r="AG252" s="24">
        <f>ROUND(IF(AQ252="2",BI252,0),2)</f>
        <v>0</v>
      </c>
      <c r="AH252" s="24">
        <f>ROUND(IF(AQ252="0",BJ252,0),2)</f>
        <v>0</v>
      </c>
      <c r="AI252" s="10" t="s">
        <v>49</v>
      </c>
      <c r="AJ252" s="24">
        <f>IF(AN252=0,J252,0)</f>
        <v>0</v>
      </c>
      <c r="AK252" s="24">
        <f>IF(AN252=12,J252,0)</f>
        <v>0</v>
      </c>
      <c r="AL252" s="24">
        <f>IF(AN252=21,J252,0)</f>
        <v>0</v>
      </c>
      <c r="AN252" s="24">
        <v>12</v>
      </c>
      <c r="AO252" s="24">
        <f>G252*1</f>
        <v>0</v>
      </c>
      <c r="AP252" s="24">
        <f>G252*(1-1)</f>
        <v>0</v>
      </c>
      <c r="AQ252" s="26" t="s">
        <v>567</v>
      </c>
      <c r="AV252" s="24">
        <f>ROUND(AW252+AX252,2)</f>
        <v>0</v>
      </c>
      <c r="AW252" s="24">
        <f>ROUND(F252*AO252,2)</f>
        <v>0</v>
      </c>
      <c r="AX252" s="24">
        <f>ROUND(F252*AP252,2)</f>
        <v>0</v>
      </c>
      <c r="AY252" s="26" t="s">
        <v>568</v>
      </c>
      <c r="AZ252" s="26" t="s">
        <v>569</v>
      </c>
      <c r="BA252" s="10" t="s">
        <v>59</v>
      </c>
      <c r="BC252" s="24">
        <f>AW252+AX252</f>
        <v>0</v>
      </c>
      <c r="BD252" s="24">
        <f>G252/(100-BE252)*100</f>
        <v>0</v>
      </c>
      <c r="BE252" s="24">
        <v>0</v>
      </c>
      <c r="BF252" s="24">
        <f>252</f>
        <v>252</v>
      </c>
      <c r="BH252" s="24">
        <f>F252*AO252</f>
        <v>0</v>
      </c>
      <c r="BI252" s="24">
        <f>F252*AP252</f>
        <v>0</v>
      </c>
      <c r="BJ252" s="24">
        <f>F252*G252</f>
        <v>0</v>
      </c>
      <c r="BK252" s="24"/>
      <c r="BL252" s="24"/>
      <c r="BW252" s="24">
        <v>12</v>
      </c>
      <c r="BX252" s="4" t="s">
        <v>581</v>
      </c>
    </row>
    <row r="253" spans="1:76" ht="14.4" x14ac:dyDescent="0.3">
      <c r="A253" s="2" t="s">
        <v>582</v>
      </c>
      <c r="B253" s="3" t="s">
        <v>583</v>
      </c>
      <c r="C253" s="89" t="s">
        <v>750</v>
      </c>
      <c r="D253" s="90"/>
      <c r="E253" s="3" t="s">
        <v>96</v>
      </c>
      <c r="F253" s="24">
        <v>2</v>
      </c>
      <c r="G253" s="24">
        <v>0</v>
      </c>
      <c r="H253" s="24">
        <f>ROUND(F253*AO253,2)</f>
        <v>0</v>
      </c>
      <c r="I253" s="24">
        <f>ROUND(F253*AP253,2)</f>
        <v>0</v>
      </c>
      <c r="J253" s="24">
        <f>ROUND(F253*G253,2)</f>
        <v>0</v>
      </c>
      <c r="K253" s="25" t="s">
        <v>56</v>
      </c>
      <c r="Z253" s="24">
        <f>ROUND(IF(AQ253="5",BJ253,0),2)</f>
        <v>0</v>
      </c>
      <c r="AB253" s="24">
        <f>ROUND(IF(AQ253="1",BH253,0),2)</f>
        <v>0</v>
      </c>
      <c r="AC253" s="24">
        <f>ROUND(IF(AQ253="1",BI253,0),2)</f>
        <v>0</v>
      </c>
      <c r="AD253" s="24">
        <f>ROUND(IF(AQ253="7",BH253,0),2)</f>
        <v>0</v>
      </c>
      <c r="AE253" s="24">
        <f>ROUND(IF(AQ253="7",BI253,0),2)</f>
        <v>0</v>
      </c>
      <c r="AF253" s="24">
        <f>ROUND(IF(AQ253="2",BH253,0),2)</f>
        <v>0</v>
      </c>
      <c r="AG253" s="24">
        <f>ROUND(IF(AQ253="2",BI253,0),2)</f>
        <v>0</v>
      </c>
      <c r="AH253" s="24">
        <f>ROUND(IF(AQ253="0",BJ253,0),2)</f>
        <v>0</v>
      </c>
      <c r="AI253" s="10" t="s">
        <v>49</v>
      </c>
      <c r="AJ253" s="24">
        <f>IF(AN253=0,J253,0)</f>
        <v>0</v>
      </c>
      <c r="AK253" s="24">
        <f>IF(AN253=12,J253,0)</f>
        <v>0</v>
      </c>
      <c r="AL253" s="24">
        <f>IF(AN253=21,J253,0)</f>
        <v>0</v>
      </c>
      <c r="AN253" s="24">
        <v>12</v>
      </c>
      <c r="AO253" s="24">
        <f>G253*1</f>
        <v>0</v>
      </c>
      <c r="AP253" s="24">
        <f>G253*(1-1)</f>
        <v>0</v>
      </c>
      <c r="AQ253" s="26" t="s">
        <v>567</v>
      </c>
      <c r="AV253" s="24">
        <f>ROUND(AW253+AX253,2)</f>
        <v>0</v>
      </c>
      <c r="AW253" s="24">
        <f>ROUND(F253*AO253,2)</f>
        <v>0</v>
      </c>
      <c r="AX253" s="24">
        <f>ROUND(F253*AP253,2)</f>
        <v>0</v>
      </c>
      <c r="AY253" s="26" t="s">
        <v>568</v>
      </c>
      <c r="AZ253" s="26" t="s">
        <v>569</v>
      </c>
      <c r="BA253" s="10" t="s">
        <v>59</v>
      </c>
      <c r="BC253" s="24">
        <f>AW253+AX253</f>
        <v>0</v>
      </c>
      <c r="BD253" s="24">
        <f>G253/(100-BE253)*100</f>
        <v>0</v>
      </c>
      <c r="BE253" s="24">
        <v>0</v>
      </c>
      <c r="BF253" s="24">
        <f>253</f>
        <v>253</v>
      </c>
      <c r="BH253" s="24">
        <f>F253*AO253</f>
        <v>0</v>
      </c>
      <c r="BI253" s="24">
        <f>F253*AP253</f>
        <v>0</v>
      </c>
      <c r="BJ253" s="24">
        <f>F253*G253</f>
        <v>0</v>
      </c>
      <c r="BK253" s="24"/>
      <c r="BL253" s="24"/>
      <c r="BW253" s="24">
        <v>12</v>
      </c>
      <c r="BX253" s="4" t="s">
        <v>584</v>
      </c>
    </row>
    <row r="254" spans="1:76" ht="52.8" x14ac:dyDescent="0.3">
      <c r="A254" s="27"/>
      <c r="B254" s="28" t="s">
        <v>63</v>
      </c>
      <c r="C254" s="95" t="s">
        <v>585</v>
      </c>
      <c r="D254" s="96"/>
      <c r="E254" s="96"/>
      <c r="F254" s="96"/>
      <c r="G254" s="96"/>
      <c r="H254" s="96"/>
      <c r="I254" s="96"/>
      <c r="J254" s="96"/>
      <c r="K254" s="97"/>
      <c r="BX254" s="29" t="s">
        <v>585</v>
      </c>
    </row>
    <row r="255" spans="1:76" ht="14.4" x14ac:dyDescent="0.3">
      <c r="A255" s="30" t="s">
        <v>49</v>
      </c>
      <c r="B255" s="31" t="s">
        <v>586</v>
      </c>
      <c r="C255" s="91" t="s">
        <v>587</v>
      </c>
      <c r="D255" s="92"/>
      <c r="E255" s="32" t="s">
        <v>4</v>
      </c>
      <c r="F255" s="32" t="s">
        <v>4</v>
      </c>
      <c r="G255" s="32" t="s">
        <v>4</v>
      </c>
      <c r="H255" s="1">
        <f>H256+H258+H262+H265+H268</f>
        <v>0</v>
      </c>
      <c r="I255" s="1">
        <f>I256+I258+I262+I265+I268</f>
        <v>0</v>
      </c>
      <c r="J255" s="1">
        <f>J256+J258+J262+J265+J268</f>
        <v>0</v>
      </c>
      <c r="K255" s="33" t="s">
        <v>49</v>
      </c>
      <c r="AI255" s="10" t="s">
        <v>49</v>
      </c>
    </row>
    <row r="256" spans="1:76" ht="14.4" x14ac:dyDescent="0.3">
      <c r="A256" s="30" t="s">
        <v>49</v>
      </c>
      <c r="B256" s="31" t="s">
        <v>588</v>
      </c>
      <c r="C256" s="91" t="s">
        <v>589</v>
      </c>
      <c r="D256" s="92"/>
      <c r="E256" s="32" t="s">
        <v>4</v>
      </c>
      <c r="F256" s="32" t="s">
        <v>4</v>
      </c>
      <c r="G256" s="32" t="s">
        <v>4</v>
      </c>
      <c r="H256" s="1">
        <f>SUM(H257:H257)</f>
        <v>0</v>
      </c>
      <c r="I256" s="1">
        <f>SUM(I257:I257)</f>
        <v>0</v>
      </c>
      <c r="J256" s="1">
        <f>SUM(J257:J257)</f>
        <v>0</v>
      </c>
      <c r="K256" s="33" t="s">
        <v>49</v>
      </c>
      <c r="AI256" s="10" t="s">
        <v>49</v>
      </c>
      <c r="AS256" s="1">
        <f>SUM(AJ257:AJ257)</f>
        <v>0</v>
      </c>
      <c r="AT256" s="1">
        <f>SUM(AK257:AK257)</f>
        <v>0</v>
      </c>
      <c r="AU256" s="1">
        <f>SUM(AL257:AL257)</f>
        <v>0</v>
      </c>
    </row>
    <row r="257" spans="1:76" ht="14.4" x14ac:dyDescent="0.3">
      <c r="A257" s="2" t="s">
        <v>590</v>
      </c>
      <c r="B257" s="3" t="s">
        <v>591</v>
      </c>
      <c r="C257" s="89" t="s">
        <v>589</v>
      </c>
      <c r="D257" s="90"/>
      <c r="E257" s="3" t="s">
        <v>592</v>
      </c>
      <c r="F257" s="24">
        <v>1</v>
      </c>
      <c r="G257" s="24">
        <v>0</v>
      </c>
      <c r="H257" s="24">
        <f>ROUND(F257*AO257,2)</f>
        <v>0</v>
      </c>
      <c r="I257" s="24">
        <f>ROUND(F257*AP257,2)</f>
        <v>0</v>
      </c>
      <c r="J257" s="24">
        <f>ROUND(F257*G257,2)</f>
        <v>0</v>
      </c>
      <c r="K257" s="25" t="s">
        <v>49</v>
      </c>
      <c r="Z257" s="24">
        <f>ROUND(IF(AQ257="5",BJ257,0),2)</f>
        <v>0</v>
      </c>
      <c r="AB257" s="24">
        <f>ROUND(IF(AQ257="1",BH257,0),2)</f>
        <v>0</v>
      </c>
      <c r="AC257" s="24">
        <f>ROUND(IF(AQ257="1",BI257,0),2)</f>
        <v>0</v>
      </c>
      <c r="AD257" s="24">
        <f>ROUND(IF(AQ257="7",BH257,0),2)</f>
        <v>0</v>
      </c>
      <c r="AE257" s="24">
        <f>ROUND(IF(AQ257="7",BI257,0),2)</f>
        <v>0</v>
      </c>
      <c r="AF257" s="24">
        <f>ROUND(IF(AQ257="2",BH257,0),2)</f>
        <v>0</v>
      </c>
      <c r="AG257" s="24">
        <f>ROUND(IF(AQ257="2",BI257,0),2)</f>
        <v>0</v>
      </c>
      <c r="AH257" s="24">
        <f>ROUND(IF(AQ257="0",BJ257,0),2)</f>
        <v>0</v>
      </c>
      <c r="AI257" s="10" t="s">
        <v>49</v>
      </c>
      <c r="AJ257" s="24">
        <f>IF(AN257=0,J257,0)</f>
        <v>0</v>
      </c>
      <c r="AK257" s="24">
        <f>IF(AN257=12,J257,0)</f>
        <v>0</v>
      </c>
      <c r="AL257" s="24">
        <f>IF(AN257=21,J257,0)</f>
        <v>0</v>
      </c>
      <c r="AN257" s="24">
        <v>12</v>
      </c>
      <c r="AO257" s="24">
        <f>G257*0.64516129</f>
        <v>0</v>
      </c>
      <c r="AP257" s="24">
        <f>G257*(1-0.64516129)</f>
        <v>0</v>
      </c>
      <c r="AQ257" s="26" t="s">
        <v>437</v>
      </c>
      <c r="AV257" s="24">
        <f>ROUND(AW257+AX257,2)</f>
        <v>0</v>
      </c>
      <c r="AW257" s="24">
        <f>ROUND(F257*AO257,2)</f>
        <v>0</v>
      </c>
      <c r="AX257" s="24">
        <f>ROUND(F257*AP257,2)</f>
        <v>0</v>
      </c>
      <c r="AY257" s="26" t="s">
        <v>593</v>
      </c>
      <c r="AZ257" s="26" t="s">
        <v>594</v>
      </c>
      <c r="BA257" s="10" t="s">
        <v>59</v>
      </c>
      <c r="BC257" s="24">
        <f>AW257+AX257</f>
        <v>0</v>
      </c>
      <c r="BD257" s="24">
        <f>G257/(100-BE257)*100</f>
        <v>0</v>
      </c>
      <c r="BE257" s="24">
        <v>0</v>
      </c>
      <c r="BF257" s="24">
        <f>257</f>
        <v>257</v>
      </c>
      <c r="BH257" s="24">
        <f>F257*AO257</f>
        <v>0</v>
      </c>
      <c r="BI257" s="24">
        <f>F257*AP257</f>
        <v>0</v>
      </c>
      <c r="BJ257" s="24">
        <f>F257*G257</f>
        <v>0</v>
      </c>
      <c r="BK257" s="24"/>
      <c r="BL257" s="24"/>
      <c r="BN257" s="24">
        <f>F257*G257</f>
        <v>0</v>
      </c>
      <c r="BW257" s="24">
        <v>12</v>
      </c>
      <c r="BX257" s="4" t="s">
        <v>589</v>
      </c>
    </row>
    <row r="258" spans="1:76" ht="14.4" x14ac:dyDescent="0.3">
      <c r="A258" s="30" t="s">
        <v>49</v>
      </c>
      <c r="B258" s="31" t="s">
        <v>595</v>
      </c>
      <c r="C258" s="91" t="s">
        <v>596</v>
      </c>
      <c r="D258" s="92"/>
      <c r="E258" s="32" t="s">
        <v>4</v>
      </c>
      <c r="F258" s="32" t="s">
        <v>4</v>
      </c>
      <c r="G258" s="32" t="s">
        <v>4</v>
      </c>
      <c r="H258" s="1">
        <f>SUM(H259:H261)</f>
        <v>0</v>
      </c>
      <c r="I258" s="1">
        <f>SUM(I259:I261)</f>
        <v>0</v>
      </c>
      <c r="J258" s="1">
        <f>SUM(J259:J261)</f>
        <v>0</v>
      </c>
      <c r="K258" s="33" t="s">
        <v>49</v>
      </c>
      <c r="AI258" s="10" t="s">
        <v>49</v>
      </c>
      <c r="AS258" s="1">
        <f>SUM(AJ259:AJ261)</f>
        <v>0</v>
      </c>
      <c r="AT258" s="1">
        <f>SUM(AK259:AK261)</f>
        <v>0</v>
      </c>
      <c r="AU258" s="1">
        <f>SUM(AL259:AL261)</f>
        <v>0</v>
      </c>
    </row>
    <row r="259" spans="1:76" ht="14.4" x14ac:dyDescent="0.3">
      <c r="A259" s="2" t="s">
        <v>597</v>
      </c>
      <c r="B259" s="3" t="s">
        <v>598</v>
      </c>
      <c r="C259" s="89" t="s">
        <v>596</v>
      </c>
      <c r="D259" s="90"/>
      <c r="E259" s="3" t="s">
        <v>592</v>
      </c>
      <c r="F259" s="24">
        <v>1</v>
      </c>
      <c r="G259" s="24">
        <v>0</v>
      </c>
      <c r="H259" s="24">
        <f>ROUND(F259*AO259,2)</f>
        <v>0</v>
      </c>
      <c r="I259" s="24">
        <f>ROUND(F259*AP259,2)</f>
        <v>0</v>
      </c>
      <c r="J259" s="24">
        <f>ROUND(F259*G259,2)</f>
        <v>0</v>
      </c>
      <c r="K259" s="25" t="s">
        <v>49</v>
      </c>
      <c r="Z259" s="24">
        <f>ROUND(IF(AQ259="5",BJ259,0),2)</f>
        <v>0</v>
      </c>
      <c r="AB259" s="24">
        <f>ROUND(IF(AQ259="1",BH259,0),2)</f>
        <v>0</v>
      </c>
      <c r="AC259" s="24">
        <f>ROUND(IF(AQ259="1",BI259,0),2)</f>
        <v>0</v>
      </c>
      <c r="AD259" s="24">
        <f>ROUND(IF(AQ259="7",BH259,0),2)</f>
        <v>0</v>
      </c>
      <c r="AE259" s="24">
        <f>ROUND(IF(AQ259="7",BI259,0),2)</f>
        <v>0</v>
      </c>
      <c r="AF259" s="24">
        <f>ROUND(IF(AQ259="2",BH259,0),2)</f>
        <v>0</v>
      </c>
      <c r="AG259" s="24">
        <f>ROUND(IF(AQ259="2",BI259,0),2)</f>
        <v>0</v>
      </c>
      <c r="AH259" s="24">
        <f>ROUND(IF(AQ259="0",BJ259,0),2)</f>
        <v>0</v>
      </c>
      <c r="AI259" s="10" t="s">
        <v>49</v>
      </c>
      <c r="AJ259" s="24">
        <f>IF(AN259=0,J259,0)</f>
        <v>0</v>
      </c>
      <c r="AK259" s="24">
        <f>IF(AN259=12,J259,0)</f>
        <v>0</v>
      </c>
      <c r="AL259" s="24">
        <f>IF(AN259=21,J259,0)</f>
        <v>0</v>
      </c>
      <c r="AN259" s="24">
        <v>12</v>
      </c>
      <c r="AO259" s="24">
        <f>G259*0.666666667</f>
        <v>0</v>
      </c>
      <c r="AP259" s="24">
        <f>G259*(1-0.666666667)</f>
        <v>0</v>
      </c>
      <c r="AQ259" s="26" t="s">
        <v>437</v>
      </c>
      <c r="AV259" s="24">
        <f>ROUND(AW259+AX259,2)</f>
        <v>0</v>
      </c>
      <c r="AW259" s="24">
        <f>ROUND(F259*AO259,2)</f>
        <v>0</v>
      </c>
      <c r="AX259" s="24">
        <f>ROUND(F259*AP259,2)</f>
        <v>0</v>
      </c>
      <c r="AY259" s="26" t="s">
        <v>599</v>
      </c>
      <c r="AZ259" s="26" t="s">
        <v>594</v>
      </c>
      <c r="BA259" s="10" t="s">
        <v>59</v>
      </c>
      <c r="BC259" s="24">
        <f>AW259+AX259</f>
        <v>0</v>
      </c>
      <c r="BD259" s="24">
        <f>G259/(100-BE259)*100</f>
        <v>0</v>
      </c>
      <c r="BE259" s="24">
        <v>0</v>
      </c>
      <c r="BF259" s="24">
        <f>259</f>
        <v>259</v>
      </c>
      <c r="BH259" s="24">
        <f>F259*AO259</f>
        <v>0</v>
      </c>
      <c r="BI259" s="24">
        <f>F259*AP259</f>
        <v>0</v>
      </c>
      <c r="BJ259" s="24">
        <f>F259*G259</f>
        <v>0</v>
      </c>
      <c r="BK259" s="24"/>
      <c r="BL259" s="24"/>
      <c r="BO259" s="24">
        <f>F259*G259</f>
        <v>0</v>
      </c>
      <c r="BW259" s="24">
        <v>12</v>
      </c>
      <c r="BX259" s="4" t="s">
        <v>596</v>
      </c>
    </row>
    <row r="260" spans="1:76" ht="14.4" x14ac:dyDescent="0.3">
      <c r="A260" s="2" t="s">
        <v>600</v>
      </c>
      <c r="B260" s="3" t="s">
        <v>601</v>
      </c>
      <c r="C260" s="89" t="s">
        <v>602</v>
      </c>
      <c r="D260" s="90"/>
      <c r="E260" s="3" t="s">
        <v>592</v>
      </c>
      <c r="F260" s="24">
        <v>1</v>
      </c>
      <c r="G260" s="24">
        <v>0</v>
      </c>
      <c r="H260" s="24">
        <f>ROUND(F260*AO260,2)</f>
        <v>0</v>
      </c>
      <c r="I260" s="24">
        <f>ROUND(F260*AP260,2)</f>
        <v>0</v>
      </c>
      <c r="J260" s="24">
        <f>ROUND(F260*G260,2)</f>
        <v>0</v>
      </c>
      <c r="K260" s="25" t="s">
        <v>49</v>
      </c>
      <c r="Z260" s="24">
        <f>ROUND(IF(AQ260="5",BJ260,0),2)</f>
        <v>0</v>
      </c>
      <c r="AB260" s="24">
        <f>ROUND(IF(AQ260="1",BH260,0),2)</f>
        <v>0</v>
      </c>
      <c r="AC260" s="24">
        <f>ROUND(IF(AQ260="1",BI260,0),2)</f>
        <v>0</v>
      </c>
      <c r="AD260" s="24">
        <f>ROUND(IF(AQ260="7",BH260,0),2)</f>
        <v>0</v>
      </c>
      <c r="AE260" s="24">
        <f>ROUND(IF(AQ260="7",BI260,0),2)</f>
        <v>0</v>
      </c>
      <c r="AF260" s="24">
        <f>ROUND(IF(AQ260="2",BH260,0),2)</f>
        <v>0</v>
      </c>
      <c r="AG260" s="24">
        <f>ROUND(IF(AQ260="2",BI260,0),2)</f>
        <v>0</v>
      </c>
      <c r="AH260" s="24">
        <f>ROUND(IF(AQ260="0",BJ260,0),2)</f>
        <v>0</v>
      </c>
      <c r="AI260" s="10" t="s">
        <v>49</v>
      </c>
      <c r="AJ260" s="24">
        <f>IF(AN260=0,J260,0)</f>
        <v>0</v>
      </c>
      <c r="AK260" s="24">
        <f>IF(AN260=12,J260,0)</f>
        <v>0</v>
      </c>
      <c r="AL260" s="24">
        <f>IF(AN260=21,J260,0)</f>
        <v>0</v>
      </c>
      <c r="AN260" s="24">
        <v>12</v>
      </c>
      <c r="AO260" s="24">
        <f>G260*0.722543353</f>
        <v>0</v>
      </c>
      <c r="AP260" s="24">
        <f>G260*(1-0.722543353)</f>
        <v>0</v>
      </c>
      <c r="AQ260" s="26" t="s">
        <v>437</v>
      </c>
      <c r="AV260" s="24">
        <f>ROUND(AW260+AX260,2)</f>
        <v>0</v>
      </c>
      <c r="AW260" s="24">
        <f>ROUND(F260*AO260,2)</f>
        <v>0</v>
      </c>
      <c r="AX260" s="24">
        <f>ROUND(F260*AP260,2)</f>
        <v>0</v>
      </c>
      <c r="AY260" s="26" t="s">
        <v>599</v>
      </c>
      <c r="AZ260" s="26" t="s">
        <v>594</v>
      </c>
      <c r="BA260" s="10" t="s">
        <v>59</v>
      </c>
      <c r="BC260" s="24">
        <f>AW260+AX260</f>
        <v>0</v>
      </c>
      <c r="BD260" s="24">
        <f>G260/(100-BE260)*100</f>
        <v>0</v>
      </c>
      <c r="BE260" s="24">
        <v>0</v>
      </c>
      <c r="BF260" s="24">
        <f>260</f>
        <v>260</v>
      </c>
      <c r="BH260" s="24">
        <f>F260*AO260</f>
        <v>0</v>
      </c>
      <c r="BI260" s="24">
        <f>F260*AP260</f>
        <v>0</v>
      </c>
      <c r="BJ260" s="24">
        <f>F260*G260</f>
        <v>0</v>
      </c>
      <c r="BK260" s="24"/>
      <c r="BL260" s="24"/>
      <c r="BO260" s="24">
        <f>F260*G260</f>
        <v>0</v>
      </c>
      <c r="BW260" s="24">
        <v>12</v>
      </c>
      <c r="BX260" s="4" t="s">
        <v>602</v>
      </c>
    </row>
    <row r="261" spans="1:76" ht="14.4" x14ac:dyDescent="0.3">
      <c r="A261" s="2" t="s">
        <v>603</v>
      </c>
      <c r="B261" s="3" t="s">
        <v>604</v>
      </c>
      <c r="C261" s="89" t="s">
        <v>605</v>
      </c>
      <c r="D261" s="90"/>
      <c r="E261" s="3" t="s">
        <v>592</v>
      </c>
      <c r="F261" s="24">
        <v>1</v>
      </c>
      <c r="G261" s="24">
        <v>0</v>
      </c>
      <c r="H261" s="24">
        <f>ROUND(F261*AO261,2)</f>
        <v>0</v>
      </c>
      <c r="I261" s="24">
        <f>ROUND(F261*AP261,2)</f>
        <v>0</v>
      </c>
      <c r="J261" s="24">
        <f>ROUND(F261*G261,2)</f>
        <v>0</v>
      </c>
      <c r="K261" s="25" t="s">
        <v>49</v>
      </c>
      <c r="Z261" s="24">
        <f>ROUND(IF(AQ261="5",BJ261,0),2)</f>
        <v>0</v>
      </c>
      <c r="AB261" s="24">
        <f>ROUND(IF(AQ261="1",BH261,0),2)</f>
        <v>0</v>
      </c>
      <c r="AC261" s="24">
        <f>ROUND(IF(AQ261="1",BI261,0),2)</f>
        <v>0</v>
      </c>
      <c r="AD261" s="24">
        <f>ROUND(IF(AQ261="7",BH261,0),2)</f>
        <v>0</v>
      </c>
      <c r="AE261" s="24">
        <f>ROUND(IF(AQ261="7",BI261,0),2)</f>
        <v>0</v>
      </c>
      <c r="AF261" s="24">
        <f>ROUND(IF(AQ261="2",BH261,0),2)</f>
        <v>0</v>
      </c>
      <c r="AG261" s="24">
        <f>ROUND(IF(AQ261="2",BI261,0),2)</f>
        <v>0</v>
      </c>
      <c r="AH261" s="24">
        <f>ROUND(IF(AQ261="0",BJ261,0),2)</f>
        <v>0</v>
      </c>
      <c r="AI261" s="10" t="s">
        <v>49</v>
      </c>
      <c r="AJ261" s="24">
        <f>IF(AN261=0,J261,0)</f>
        <v>0</v>
      </c>
      <c r="AK261" s="24">
        <f>IF(AN261=12,J261,0)</f>
        <v>0</v>
      </c>
      <c r="AL261" s="24">
        <f>IF(AN261=21,J261,0)</f>
        <v>0</v>
      </c>
      <c r="AN261" s="24">
        <v>12</v>
      </c>
      <c r="AO261" s="24">
        <f>G261*0.25</f>
        <v>0</v>
      </c>
      <c r="AP261" s="24">
        <f>G261*(1-0.25)</f>
        <v>0</v>
      </c>
      <c r="AQ261" s="26" t="s">
        <v>437</v>
      </c>
      <c r="AV261" s="24">
        <f>ROUND(AW261+AX261,2)</f>
        <v>0</v>
      </c>
      <c r="AW261" s="24">
        <f>ROUND(F261*AO261,2)</f>
        <v>0</v>
      </c>
      <c r="AX261" s="24">
        <f>ROUND(F261*AP261,2)</f>
        <v>0</v>
      </c>
      <c r="AY261" s="26" t="s">
        <v>599</v>
      </c>
      <c r="AZ261" s="26" t="s">
        <v>594</v>
      </c>
      <c r="BA261" s="10" t="s">
        <v>59</v>
      </c>
      <c r="BC261" s="24">
        <f>AW261+AX261</f>
        <v>0</v>
      </c>
      <c r="BD261" s="24">
        <f>G261/(100-BE261)*100</f>
        <v>0</v>
      </c>
      <c r="BE261" s="24">
        <v>0</v>
      </c>
      <c r="BF261" s="24">
        <f>261</f>
        <v>261</v>
      </c>
      <c r="BH261" s="24">
        <f>F261*AO261</f>
        <v>0</v>
      </c>
      <c r="BI261" s="24">
        <f>F261*AP261</f>
        <v>0</v>
      </c>
      <c r="BJ261" s="24">
        <f>F261*G261</f>
        <v>0</v>
      </c>
      <c r="BK261" s="24"/>
      <c r="BL261" s="24"/>
      <c r="BO261" s="24">
        <f>F261*G261</f>
        <v>0</v>
      </c>
      <c r="BW261" s="24">
        <v>12</v>
      </c>
      <c r="BX261" s="4" t="s">
        <v>605</v>
      </c>
    </row>
    <row r="262" spans="1:76" ht="14.4" x14ac:dyDescent="0.3">
      <c r="A262" s="30" t="s">
        <v>49</v>
      </c>
      <c r="B262" s="31" t="s">
        <v>606</v>
      </c>
      <c r="C262" s="91" t="s">
        <v>607</v>
      </c>
      <c r="D262" s="92"/>
      <c r="E262" s="32" t="s">
        <v>4</v>
      </c>
      <c r="F262" s="32" t="s">
        <v>4</v>
      </c>
      <c r="G262" s="32" t="s">
        <v>4</v>
      </c>
      <c r="H262" s="1">
        <f>SUM(H263:H263)</f>
        <v>0</v>
      </c>
      <c r="I262" s="1">
        <f>SUM(I263:I263)</f>
        <v>0</v>
      </c>
      <c r="J262" s="1">
        <f>SUM(J263:J263)</f>
        <v>0</v>
      </c>
      <c r="K262" s="33" t="s">
        <v>49</v>
      </c>
      <c r="AI262" s="10" t="s">
        <v>49</v>
      </c>
      <c r="AS262" s="1">
        <f>SUM(AJ263:AJ263)</f>
        <v>0</v>
      </c>
      <c r="AT262" s="1">
        <f>SUM(AK263:AK263)</f>
        <v>0</v>
      </c>
      <c r="AU262" s="1">
        <f>SUM(AL263:AL263)</f>
        <v>0</v>
      </c>
    </row>
    <row r="263" spans="1:76" ht="14.4" x14ac:dyDescent="0.3">
      <c r="A263" s="2" t="s">
        <v>608</v>
      </c>
      <c r="B263" s="3" t="s">
        <v>609</v>
      </c>
      <c r="C263" s="89" t="s">
        <v>610</v>
      </c>
      <c r="D263" s="90"/>
      <c r="E263" s="3" t="s">
        <v>592</v>
      </c>
      <c r="F263" s="24">
        <v>1</v>
      </c>
      <c r="G263" s="24">
        <v>0</v>
      </c>
      <c r="H263" s="24">
        <f>ROUND(F263*AO263,2)</f>
        <v>0</v>
      </c>
      <c r="I263" s="24">
        <f>ROUND(F263*AP263,2)</f>
        <v>0</v>
      </c>
      <c r="J263" s="24">
        <f>ROUND(F263*G263,2)</f>
        <v>0</v>
      </c>
      <c r="K263" s="25" t="s">
        <v>49</v>
      </c>
      <c r="Z263" s="24">
        <f>ROUND(IF(AQ263="5",BJ263,0),2)</f>
        <v>0</v>
      </c>
      <c r="AB263" s="24">
        <f>ROUND(IF(AQ263="1",BH263,0),2)</f>
        <v>0</v>
      </c>
      <c r="AC263" s="24">
        <f>ROUND(IF(AQ263="1",BI263,0),2)</f>
        <v>0</v>
      </c>
      <c r="AD263" s="24">
        <f>ROUND(IF(AQ263="7",BH263,0),2)</f>
        <v>0</v>
      </c>
      <c r="AE263" s="24">
        <f>ROUND(IF(AQ263="7",BI263,0),2)</f>
        <v>0</v>
      </c>
      <c r="AF263" s="24">
        <f>ROUND(IF(AQ263="2",BH263,0),2)</f>
        <v>0</v>
      </c>
      <c r="AG263" s="24">
        <f>ROUND(IF(AQ263="2",BI263,0),2)</f>
        <v>0</v>
      </c>
      <c r="AH263" s="24">
        <f>ROUND(IF(AQ263="0",BJ263,0),2)</f>
        <v>0</v>
      </c>
      <c r="AI263" s="10" t="s">
        <v>49</v>
      </c>
      <c r="AJ263" s="24">
        <f>IF(AN263=0,J263,0)</f>
        <v>0</v>
      </c>
      <c r="AK263" s="24">
        <f>IF(AN263=12,J263,0)</f>
        <v>0</v>
      </c>
      <c r="AL263" s="24">
        <f>IF(AN263=21,J263,0)</f>
        <v>0</v>
      </c>
      <c r="AN263" s="24">
        <v>12</v>
      </c>
      <c r="AO263" s="24">
        <f>G263*0</f>
        <v>0</v>
      </c>
      <c r="AP263" s="24">
        <f>G263*(1-0)</f>
        <v>0</v>
      </c>
      <c r="AQ263" s="26" t="s">
        <v>437</v>
      </c>
      <c r="AV263" s="24">
        <f>ROUND(AW263+AX263,2)</f>
        <v>0</v>
      </c>
      <c r="AW263" s="24">
        <f>ROUND(F263*AO263,2)</f>
        <v>0</v>
      </c>
      <c r="AX263" s="24">
        <f>ROUND(F263*AP263,2)</f>
        <v>0</v>
      </c>
      <c r="AY263" s="26" t="s">
        <v>611</v>
      </c>
      <c r="AZ263" s="26" t="s">
        <v>594</v>
      </c>
      <c r="BA263" s="10" t="s">
        <v>59</v>
      </c>
      <c r="BC263" s="24">
        <f>AW263+AX263</f>
        <v>0</v>
      </c>
      <c r="BD263" s="24">
        <f>G263/(100-BE263)*100</f>
        <v>0</v>
      </c>
      <c r="BE263" s="24">
        <v>0</v>
      </c>
      <c r="BF263" s="24">
        <f>263</f>
        <v>263</v>
      </c>
      <c r="BH263" s="24">
        <f>F263*AO263</f>
        <v>0</v>
      </c>
      <c r="BI263" s="24">
        <f>F263*AP263</f>
        <v>0</v>
      </c>
      <c r="BJ263" s="24">
        <f>F263*G263</f>
        <v>0</v>
      </c>
      <c r="BK263" s="24"/>
      <c r="BL263" s="24"/>
      <c r="BQ263" s="24">
        <f>F263*G263</f>
        <v>0</v>
      </c>
      <c r="BW263" s="24">
        <v>12</v>
      </c>
      <c r="BX263" s="4" t="s">
        <v>610</v>
      </c>
    </row>
    <row r="264" spans="1:76" ht="13.5" customHeight="1" x14ac:dyDescent="0.3">
      <c r="A264" s="27"/>
      <c r="B264" s="28" t="s">
        <v>86</v>
      </c>
      <c r="C264" s="95" t="s">
        <v>612</v>
      </c>
      <c r="D264" s="96"/>
      <c r="E264" s="96"/>
      <c r="F264" s="96"/>
      <c r="G264" s="96"/>
      <c r="H264" s="96"/>
      <c r="I264" s="96"/>
      <c r="J264" s="96"/>
      <c r="K264" s="97"/>
    </row>
    <row r="265" spans="1:76" ht="14.4" x14ac:dyDescent="0.3">
      <c r="A265" s="30" t="s">
        <v>49</v>
      </c>
      <c r="B265" s="31" t="s">
        <v>613</v>
      </c>
      <c r="C265" s="91" t="s">
        <v>614</v>
      </c>
      <c r="D265" s="92"/>
      <c r="E265" s="32" t="s">
        <v>4</v>
      </c>
      <c r="F265" s="32" t="s">
        <v>4</v>
      </c>
      <c r="G265" s="32" t="s">
        <v>4</v>
      </c>
      <c r="H265" s="1">
        <f>SUM(H266:H267)</f>
        <v>0</v>
      </c>
      <c r="I265" s="1">
        <f>SUM(I266:I267)</f>
        <v>0</v>
      </c>
      <c r="J265" s="1">
        <f>SUM(J266:J267)</f>
        <v>0</v>
      </c>
      <c r="K265" s="33" t="s">
        <v>49</v>
      </c>
      <c r="AI265" s="10" t="s">
        <v>49</v>
      </c>
      <c r="AS265" s="1">
        <f>SUM(AJ266:AJ267)</f>
        <v>0</v>
      </c>
      <c r="AT265" s="1">
        <f>SUM(AK266:AK267)</f>
        <v>0</v>
      </c>
      <c r="AU265" s="1">
        <f>SUM(AL266:AL267)</f>
        <v>0</v>
      </c>
    </row>
    <row r="266" spans="1:76" ht="14.4" x14ac:dyDescent="0.3">
      <c r="A266" s="2" t="s">
        <v>615</v>
      </c>
      <c r="B266" s="3" t="s">
        <v>616</v>
      </c>
      <c r="C266" s="89" t="s">
        <v>617</v>
      </c>
      <c r="D266" s="90"/>
      <c r="E266" s="3" t="s">
        <v>592</v>
      </c>
      <c r="F266" s="24">
        <v>1</v>
      </c>
      <c r="G266" s="24">
        <v>0</v>
      </c>
      <c r="H266" s="24">
        <f>ROUND(F266*AO266,2)</f>
        <v>0</v>
      </c>
      <c r="I266" s="24">
        <f>ROUND(F266*AP266,2)</f>
        <v>0</v>
      </c>
      <c r="J266" s="24">
        <f>ROUND(F266*G266,2)</f>
        <v>0</v>
      </c>
      <c r="K266" s="25" t="s">
        <v>49</v>
      </c>
      <c r="Z266" s="24">
        <f>ROUND(IF(AQ266="5",BJ266,0),2)</f>
        <v>0</v>
      </c>
      <c r="AB266" s="24">
        <f>ROUND(IF(AQ266="1",BH266,0),2)</f>
        <v>0</v>
      </c>
      <c r="AC266" s="24">
        <f>ROUND(IF(AQ266="1",BI266,0),2)</f>
        <v>0</v>
      </c>
      <c r="AD266" s="24">
        <f>ROUND(IF(AQ266="7",BH266,0),2)</f>
        <v>0</v>
      </c>
      <c r="AE266" s="24">
        <f>ROUND(IF(AQ266="7",BI266,0),2)</f>
        <v>0</v>
      </c>
      <c r="AF266" s="24">
        <f>ROUND(IF(AQ266="2",BH266,0),2)</f>
        <v>0</v>
      </c>
      <c r="AG266" s="24">
        <f>ROUND(IF(AQ266="2",BI266,0),2)</f>
        <v>0</v>
      </c>
      <c r="AH266" s="24">
        <f>ROUND(IF(AQ266="0",BJ266,0),2)</f>
        <v>0</v>
      </c>
      <c r="AI266" s="10" t="s">
        <v>49</v>
      </c>
      <c r="AJ266" s="24">
        <f>IF(AN266=0,J266,0)</f>
        <v>0</v>
      </c>
      <c r="AK266" s="24">
        <f>IF(AN266=12,J266,0)</f>
        <v>0</v>
      </c>
      <c r="AL266" s="24">
        <f>IF(AN266=21,J266,0)</f>
        <v>0</v>
      </c>
      <c r="AN266" s="24">
        <v>12</v>
      </c>
      <c r="AO266" s="24">
        <f>G266*0</f>
        <v>0</v>
      </c>
      <c r="AP266" s="24">
        <f>G266*(1-0)</f>
        <v>0</v>
      </c>
      <c r="AQ266" s="26" t="s">
        <v>437</v>
      </c>
      <c r="AV266" s="24">
        <f>ROUND(AW266+AX266,2)</f>
        <v>0</v>
      </c>
      <c r="AW266" s="24">
        <f>ROUND(F266*AO266,2)</f>
        <v>0</v>
      </c>
      <c r="AX266" s="24">
        <f>ROUND(F266*AP266,2)</f>
        <v>0</v>
      </c>
      <c r="AY266" s="26" t="s">
        <v>618</v>
      </c>
      <c r="AZ266" s="26" t="s">
        <v>594</v>
      </c>
      <c r="BA266" s="10" t="s">
        <v>59</v>
      </c>
      <c r="BC266" s="24">
        <f>AW266+AX266</f>
        <v>0</v>
      </c>
      <c r="BD266" s="24">
        <f>G266/(100-BE266)*100</f>
        <v>0</v>
      </c>
      <c r="BE266" s="24">
        <v>0</v>
      </c>
      <c r="BF266" s="24">
        <f>266</f>
        <v>266</v>
      </c>
      <c r="BH266" s="24">
        <f>F266*AO266</f>
        <v>0</v>
      </c>
      <c r="BI266" s="24">
        <f>F266*AP266</f>
        <v>0</v>
      </c>
      <c r="BJ266" s="24">
        <f>F266*G266</f>
        <v>0</v>
      </c>
      <c r="BK266" s="24"/>
      <c r="BL266" s="24"/>
      <c r="BR266" s="24">
        <f>F266*G266</f>
        <v>0</v>
      </c>
      <c r="BW266" s="24">
        <v>12</v>
      </c>
      <c r="BX266" s="4" t="s">
        <v>617</v>
      </c>
    </row>
    <row r="267" spans="1:76" ht="14.4" x14ac:dyDescent="0.3">
      <c r="A267" s="2" t="s">
        <v>619</v>
      </c>
      <c r="B267" s="3" t="s">
        <v>620</v>
      </c>
      <c r="C267" s="89" t="s">
        <v>621</v>
      </c>
      <c r="D267" s="90"/>
      <c r="E267" s="3" t="s">
        <v>592</v>
      </c>
      <c r="F267" s="24">
        <v>1</v>
      </c>
      <c r="G267" s="24">
        <v>0</v>
      </c>
      <c r="H267" s="24">
        <f>ROUND(F267*AO267,2)</f>
        <v>0</v>
      </c>
      <c r="I267" s="24">
        <f>ROUND(F267*AP267,2)</f>
        <v>0</v>
      </c>
      <c r="J267" s="24">
        <f>ROUND(F267*G267,2)</f>
        <v>0</v>
      </c>
      <c r="K267" s="25" t="s">
        <v>49</v>
      </c>
      <c r="Z267" s="24">
        <f>ROUND(IF(AQ267="5",BJ267,0),2)</f>
        <v>0</v>
      </c>
      <c r="AB267" s="24">
        <f>ROUND(IF(AQ267="1",BH267,0),2)</f>
        <v>0</v>
      </c>
      <c r="AC267" s="24">
        <f>ROUND(IF(AQ267="1",BI267,0),2)</f>
        <v>0</v>
      </c>
      <c r="AD267" s="24">
        <f>ROUND(IF(AQ267="7",BH267,0),2)</f>
        <v>0</v>
      </c>
      <c r="AE267" s="24">
        <f>ROUND(IF(AQ267="7",BI267,0),2)</f>
        <v>0</v>
      </c>
      <c r="AF267" s="24">
        <f>ROUND(IF(AQ267="2",BH267,0),2)</f>
        <v>0</v>
      </c>
      <c r="AG267" s="24">
        <f>ROUND(IF(AQ267="2",BI267,0),2)</f>
        <v>0</v>
      </c>
      <c r="AH267" s="24">
        <f>ROUND(IF(AQ267="0",BJ267,0),2)</f>
        <v>0</v>
      </c>
      <c r="AI267" s="10" t="s">
        <v>49</v>
      </c>
      <c r="AJ267" s="24">
        <f>IF(AN267=0,J267,0)</f>
        <v>0</v>
      </c>
      <c r="AK267" s="24">
        <f>IF(AN267=12,J267,0)</f>
        <v>0</v>
      </c>
      <c r="AL267" s="24">
        <f>IF(AN267=21,J267,0)</f>
        <v>0</v>
      </c>
      <c r="AN267" s="24">
        <v>12</v>
      </c>
      <c r="AO267" s="24">
        <f>G267*0</f>
        <v>0</v>
      </c>
      <c r="AP267" s="24">
        <f>G267*(1-0)</f>
        <v>0</v>
      </c>
      <c r="AQ267" s="26" t="s">
        <v>437</v>
      </c>
      <c r="AV267" s="24">
        <f>ROUND(AW267+AX267,2)</f>
        <v>0</v>
      </c>
      <c r="AW267" s="24">
        <f>ROUND(F267*AO267,2)</f>
        <v>0</v>
      </c>
      <c r="AX267" s="24">
        <f>ROUND(F267*AP267,2)</f>
        <v>0</v>
      </c>
      <c r="AY267" s="26" t="s">
        <v>618</v>
      </c>
      <c r="AZ267" s="26" t="s">
        <v>594</v>
      </c>
      <c r="BA267" s="10" t="s">
        <v>59</v>
      </c>
      <c r="BC267" s="24">
        <f>AW267+AX267</f>
        <v>0</v>
      </c>
      <c r="BD267" s="24">
        <f>G267/(100-BE267)*100</f>
        <v>0</v>
      </c>
      <c r="BE267" s="24">
        <v>0</v>
      </c>
      <c r="BF267" s="24">
        <f>267</f>
        <v>267</v>
      </c>
      <c r="BH267" s="24">
        <f>F267*AO267</f>
        <v>0</v>
      </c>
      <c r="BI267" s="24">
        <f>F267*AP267</f>
        <v>0</v>
      </c>
      <c r="BJ267" s="24">
        <f>F267*G267</f>
        <v>0</v>
      </c>
      <c r="BK267" s="24"/>
      <c r="BL267" s="24"/>
      <c r="BR267" s="24">
        <f>F267*G267</f>
        <v>0</v>
      </c>
      <c r="BW267" s="24">
        <v>12</v>
      </c>
      <c r="BX267" s="4" t="s">
        <v>621</v>
      </c>
    </row>
    <row r="268" spans="1:76" ht="14.4" x14ac:dyDescent="0.3">
      <c r="A268" s="30" t="s">
        <v>49</v>
      </c>
      <c r="B268" s="31" t="s">
        <v>622</v>
      </c>
      <c r="C268" s="91" t="s">
        <v>623</v>
      </c>
      <c r="D268" s="92"/>
      <c r="E268" s="32" t="s">
        <v>4</v>
      </c>
      <c r="F268" s="32" t="s">
        <v>4</v>
      </c>
      <c r="G268" s="32" t="s">
        <v>4</v>
      </c>
      <c r="H268" s="1">
        <f>SUM(H269:H269)</f>
        <v>0</v>
      </c>
      <c r="I268" s="1">
        <f>SUM(I269:I269)</f>
        <v>0</v>
      </c>
      <c r="J268" s="1">
        <f>SUM(J269:J269)</f>
        <v>0</v>
      </c>
      <c r="K268" s="33" t="s">
        <v>49</v>
      </c>
      <c r="AI268" s="10" t="s">
        <v>49</v>
      </c>
      <c r="AS268" s="1">
        <f>SUM(AJ269:AJ269)</f>
        <v>0</v>
      </c>
      <c r="AT268" s="1">
        <f>SUM(AK269:AK269)</f>
        <v>0</v>
      </c>
      <c r="AU268" s="1">
        <f>SUM(AL269:AL269)</f>
        <v>0</v>
      </c>
    </row>
    <row r="269" spans="1:76" ht="14.4" x14ac:dyDescent="0.3">
      <c r="A269" s="34" t="s">
        <v>624</v>
      </c>
      <c r="B269" s="35" t="s">
        <v>625</v>
      </c>
      <c r="C269" s="93" t="s">
        <v>623</v>
      </c>
      <c r="D269" s="94"/>
      <c r="E269" s="35" t="s">
        <v>592</v>
      </c>
      <c r="F269" s="36">
        <v>1</v>
      </c>
      <c r="G269" s="36">
        <v>0</v>
      </c>
      <c r="H269" s="36">
        <f>ROUND(F269*AO269,2)</f>
        <v>0</v>
      </c>
      <c r="I269" s="36">
        <f>ROUND(F269*AP269,2)</f>
        <v>0</v>
      </c>
      <c r="J269" s="36">
        <f>ROUND(F269*G269,2)</f>
        <v>0</v>
      </c>
      <c r="K269" s="37" t="s">
        <v>49</v>
      </c>
      <c r="Z269" s="24">
        <f>ROUND(IF(AQ269="5",BJ269,0),2)</f>
        <v>0</v>
      </c>
      <c r="AB269" s="24">
        <f>ROUND(IF(AQ269="1",BH269,0),2)</f>
        <v>0</v>
      </c>
      <c r="AC269" s="24">
        <f>ROUND(IF(AQ269="1",BI269,0),2)</f>
        <v>0</v>
      </c>
      <c r="AD269" s="24">
        <f>ROUND(IF(AQ269="7",BH269,0),2)</f>
        <v>0</v>
      </c>
      <c r="AE269" s="24">
        <f>ROUND(IF(AQ269="7",BI269,0),2)</f>
        <v>0</v>
      </c>
      <c r="AF269" s="24">
        <f>ROUND(IF(AQ269="2",BH269,0),2)</f>
        <v>0</v>
      </c>
      <c r="AG269" s="24">
        <f>ROUND(IF(AQ269="2",BI269,0),2)</f>
        <v>0</v>
      </c>
      <c r="AH269" s="24">
        <f>ROUND(IF(AQ269="0",BJ269,0),2)</f>
        <v>0</v>
      </c>
      <c r="AI269" s="10" t="s">
        <v>49</v>
      </c>
      <c r="AJ269" s="24">
        <f>IF(AN269=0,J269,0)</f>
        <v>0</v>
      </c>
      <c r="AK269" s="24">
        <f>IF(AN269=12,J269,0)</f>
        <v>0</v>
      </c>
      <c r="AL269" s="24">
        <f>IF(AN269=21,J269,0)</f>
        <v>0</v>
      </c>
      <c r="AN269" s="24">
        <v>12</v>
      </c>
      <c r="AO269" s="24">
        <f>G269*0.19379845</f>
        <v>0</v>
      </c>
      <c r="AP269" s="24">
        <f>G269*(1-0.19379845)</f>
        <v>0</v>
      </c>
      <c r="AQ269" s="26" t="s">
        <v>437</v>
      </c>
      <c r="AV269" s="24">
        <f>ROUND(AW269+AX269,2)</f>
        <v>0</v>
      </c>
      <c r="AW269" s="24">
        <f>ROUND(F269*AO269,2)</f>
        <v>0</v>
      </c>
      <c r="AX269" s="24">
        <f>ROUND(F269*AP269,2)</f>
        <v>0</v>
      </c>
      <c r="AY269" s="26" t="s">
        <v>626</v>
      </c>
      <c r="AZ269" s="26" t="s">
        <v>594</v>
      </c>
      <c r="BA269" s="10" t="s">
        <v>59</v>
      </c>
      <c r="BC269" s="24">
        <f>AW269+AX269</f>
        <v>0</v>
      </c>
      <c r="BD269" s="24">
        <f>G269/(100-BE269)*100</f>
        <v>0</v>
      </c>
      <c r="BE269" s="24">
        <v>0</v>
      </c>
      <c r="BF269" s="24">
        <f>269</f>
        <v>269</v>
      </c>
      <c r="BH269" s="24">
        <f>F269*AO269</f>
        <v>0</v>
      </c>
      <c r="BI269" s="24">
        <f>F269*AP269</f>
        <v>0</v>
      </c>
      <c r="BJ269" s="24">
        <f>F269*G269</f>
        <v>0</v>
      </c>
      <c r="BK269" s="24"/>
      <c r="BL269" s="24"/>
      <c r="BU269" s="24">
        <f>F269*G269</f>
        <v>0</v>
      </c>
      <c r="BW269" s="24">
        <v>12</v>
      </c>
      <c r="BX269" s="4" t="s">
        <v>623</v>
      </c>
    </row>
    <row r="270" spans="1:76" ht="14.4" x14ac:dyDescent="0.3">
      <c r="H270" s="88" t="s">
        <v>627</v>
      </c>
      <c r="I270" s="88"/>
      <c r="J270" s="38">
        <f>ROUND(J12+J18+J21+J27+J33+J81+J104+J109+J112+J118+J125+J127+J156+J174+J180+J182+J184+J193+J227+J246+J256+J258+J262+J265+J268,2)</f>
        <v>0</v>
      </c>
    </row>
    <row r="271" spans="1:76" ht="14.4" x14ac:dyDescent="0.3">
      <c r="A271" s="39" t="s">
        <v>628</v>
      </c>
    </row>
    <row r="272" spans="1:76" ht="12.75" customHeight="1" x14ac:dyDescent="0.3">
      <c r="A272" s="89" t="s">
        <v>49</v>
      </c>
      <c r="B272" s="90"/>
      <c r="C272" s="90"/>
      <c r="D272" s="90"/>
      <c r="E272" s="90"/>
      <c r="F272" s="90"/>
      <c r="G272" s="90"/>
      <c r="H272" s="90"/>
      <c r="I272" s="90"/>
      <c r="J272" s="90"/>
      <c r="K272" s="90"/>
    </row>
  </sheetData>
  <mergeCells count="288">
    <mergeCell ref="G8:G9"/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  <mergeCell ref="I2:K3"/>
    <mergeCell ref="I4:K5"/>
    <mergeCell ref="I6:K7"/>
    <mergeCell ref="I8:K9"/>
    <mergeCell ref="C8:D9"/>
    <mergeCell ref="G2:G3"/>
    <mergeCell ref="G4:G5"/>
    <mergeCell ref="G6:G7"/>
    <mergeCell ref="C18:D18"/>
    <mergeCell ref="C19:D19"/>
    <mergeCell ref="C11:D11"/>
    <mergeCell ref="H10:J10"/>
    <mergeCell ref="C12:D12"/>
    <mergeCell ref="C13:D13"/>
    <mergeCell ref="C14:D14"/>
    <mergeCell ref="C25:D25"/>
    <mergeCell ref="C26:K26"/>
    <mergeCell ref="C10:D10"/>
    <mergeCell ref="C15:K15"/>
    <mergeCell ref="C16:D16"/>
    <mergeCell ref="C17:K17"/>
    <mergeCell ref="C27:D27"/>
    <mergeCell ref="C28:D28"/>
    <mergeCell ref="C29:D29"/>
    <mergeCell ref="C20:K20"/>
    <mergeCell ref="C21:D21"/>
    <mergeCell ref="C22:D22"/>
    <mergeCell ref="C23:K23"/>
    <mergeCell ref="C24:K24"/>
    <mergeCell ref="C35:K35"/>
    <mergeCell ref="C36:D36"/>
    <mergeCell ref="C37:D37"/>
    <mergeCell ref="C38:K38"/>
    <mergeCell ref="C39:D39"/>
    <mergeCell ref="C30:D30"/>
    <mergeCell ref="C31:D31"/>
    <mergeCell ref="C32:K32"/>
    <mergeCell ref="C33:D33"/>
    <mergeCell ref="C34:D34"/>
    <mergeCell ref="C45:D45"/>
    <mergeCell ref="C46:D46"/>
    <mergeCell ref="C47:D47"/>
    <mergeCell ref="C48:D48"/>
    <mergeCell ref="C49:K49"/>
    <mergeCell ref="C40:K40"/>
    <mergeCell ref="C41:D41"/>
    <mergeCell ref="C42:K42"/>
    <mergeCell ref="C43:D43"/>
    <mergeCell ref="C44:K44"/>
    <mergeCell ref="C55:K55"/>
    <mergeCell ref="C56:D56"/>
    <mergeCell ref="C57:K57"/>
    <mergeCell ref="C58:D58"/>
    <mergeCell ref="C59:K59"/>
    <mergeCell ref="C50:K50"/>
    <mergeCell ref="C51:D51"/>
    <mergeCell ref="C52:K52"/>
    <mergeCell ref="C53:K53"/>
    <mergeCell ref="C54:D54"/>
    <mergeCell ref="C65:K65"/>
    <mergeCell ref="C66:D66"/>
    <mergeCell ref="C67:K67"/>
    <mergeCell ref="C68:D68"/>
    <mergeCell ref="C69:K69"/>
    <mergeCell ref="C60:D60"/>
    <mergeCell ref="C61:K61"/>
    <mergeCell ref="C62:D62"/>
    <mergeCell ref="C63:K63"/>
    <mergeCell ref="C64:D64"/>
    <mergeCell ref="C75:D75"/>
    <mergeCell ref="C76:D76"/>
    <mergeCell ref="C77:D77"/>
    <mergeCell ref="C78:K78"/>
    <mergeCell ref="C79:D79"/>
    <mergeCell ref="C70:D70"/>
    <mergeCell ref="C71:K71"/>
    <mergeCell ref="C72:D72"/>
    <mergeCell ref="C73:K73"/>
    <mergeCell ref="C74:D74"/>
    <mergeCell ref="C85:K85"/>
    <mergeCell ref="C86:K86"/>
    <mergeCell ref="C87:D87"/>
    <mergeCell ref="C88:K88"/>
    <mergeCell ref="C89:D89"/>
    <mergeCell ref="C80:K80"/>
    <mergeCell ref="C81:D81"/>
    <mergeCell ref="C82:D82"/>
    <mergeCell ref="C83:K83"/>
    <mergeCell ref="C84:D84"/>
    <mergeCell ref="C95:K95"/>
    <mergeCell ref="C96:D96"/>
    <mergeCell ref="C97:K97"/>
    <mergeCell ref="C98:D98"/>
    <mergeCell ref="C99:K99"/>
    <mergeCell ref="C90:K90"/>
    <mergeCell ref="C91:D91"/>
    <mergeCell ref="C92:K92"/>
    <mergeCell ref="C93:D93"/>
    <mergeCell ref="C94:D94"/>
    <mergeCell ref="C105:D105"/>
    <mergeCell ref="C106:K106"/>
    <mergeCell ref="C107:D107"/>
    <mergeCell ref="C108:K108"/>
    <mergeCell ref="C109:D109"/>
    <mergeCell ref="C100:D100"/>
    <mergeCell ref="C101:K101"/>
    <mergeCell ref="C102:D102"/>
    <mergeCell ref="C103:K103"/>
    <mergeCell ref="C104:D104"/>
    <mergeCell ref="C115:D115"/>
    <mergeCell ref="C116:D116"/>
    <mergeCell ref="C117:D117"/>
    <mergeCell ref="C118:D118"/>
    <mergeCell ref="C119:D119"/>
    <mergeCell ref="C110:D110"/>
    <mergeCell ref="C111:K111"/>
    <mergeCell ref="C112:D112"/>
    <mergeCell ref="C113:D113"/>
    <mergeCell ref="C114:D114"/>
    <mergeCell ref="C125:D125"/>
    <mergeCell ref="C126:D126"/>
    <mergeCell ref="C127:D127"/>
    <mergeCell ref="C128:D128"/>
    <mergeCell ref="C129:D129"/>
    <mergeCell ref="C120:D120"/>
    <mergeCell ref="C121:D121"/>
    <mergeCell ref="C122:K122"/>
    <mergeCell ref="C123:D123"/>
    <mergeCell ref="C124:D124"/>
    <mergeCell ref="C135:D135"/>
    <mergeCell ref="C136:D136"/>
    <mergeCell ref="C137:D137"/>
    <mergeCell ref="C138:K138"/>
    <mergeCell ref="C139:D139"/>
    <mergeCell ref="C130:K130"/>
    <mergeCell ref="C131:D131"/>
    <mergeCell ref="C132:D132"/>
    <mergeCell ref="C133:K133"/>
    <mergeCell ref="C134:D134"/>
    <mergeCell ref="C145:K145"/>
    <mergeCell ref="C146:K146"/>
    <mergeCell ref="C147:D147"/>
    <mergeCell ref="C148:K148"/>
    <mergeCell ref="C149:K149"/>
    <mergeCell ref="C140:D140"/>
    <mergeCell ref="C141:D141"/>
    <mergeCell ref="C142:D142"/>
    <mergeCell ref="C143:D143"/>
    <mergeCell ref="C144:D144"/>
    <mergeCell ref="C155:D155"/>
    <mergeCell ref="C156:D156"/>
    <mergeCell ref="C157:D157"/>
    <mergeCell ref="C158:K158"/>
    <mergeCell ref="C159:D159"/>
    <mergeCell ref="C150:D150"/>
    <mergeCell ref="C151:K151"/>
    <mergeCell ref="C152:D152"/>
    <mergeCell ref="C153:K153"/>
    <mergeCell ref="C154:K154"/>
    <mergeCell ref="C165:D165"/>
    <mergeCell ref="C166:K166"/>
    <mergeCell ref="C167:D167"/>
    <mergeCell ref="C168:K168"/>
    <mergeCell ref="C169:D169"/>
    <mergeCell ref="C160:K160"/>
    <mergeCell ref="C161:D161"/>
    <mergeCell ref="C162:K162"/>
    <mergeCell ref="C163:D163"/>
    <mergeCell ref="C164:K164"/>
    <mergeCell ref="C175:D175"/>
    <mergeCell ref="C176:D176"/>
    <mergeCell ref="C177:K177"/>
    <mergeCell ref="C178:D178"/>
    <mergeCell ref="C179:K179"/>
    <mergeCell ref="C170:D170"/>
    <mergeCell ref="C171:K171"/>
    <mergeCell ref="C172:D172"/>
    <mergeCell ref="C173:K173"/>
    <mergeCell ref="C174:D174"/>
    <mergeCell ref="C185:D185"/>
    <mergeCell ref="C186:K186"/>
    <mergeCell ref="C187:D187"/>
    <mergeCell ref="C188:K188"/>
    <mergeCell ref="C189:D189"/>
    <mergeCell ref="C180:D180"/>
    <mergeCell ref="C181:D181"/>
    <mergeCell ref="C182:D182"/>
    <mergeCell ref="C183:D183"/>
    <mergeCell ref="C184:D184"/>
    <mergeCell ref="C195:K195"/>
    <mergeCell ref="C196:D196"/>
    <mergeCell ref="C197:D197"/>
    <mergeCell ref="C198:D198"/>
    <mergeCell ref="C199:D199"/>
    <mergeCell ref="C190:D190"/>
    <mergeCell ref="C191:D191"/>
    <mergeCell ref="C192:D192"/>
    <mergeCell ref="C193:D193"/>
    <mergeCell ref="C194:D194"/>
    <mergeCell ref="C205:D205"/>
    <mergeCell ref="C206:K206"/>
    <mergeCell ref="C207:D207"/>
    <mergeCell ref="C208:K208"/>
    <mergeCell ref="C209:D209"/>
    <mergeCell ref="C200:K200"/>
    <mergeCell ref="C201:D201"/>
    <mergeCell ref="C202:K202"/>
    <mergeCell ref="C203:D203"/>
    <mergeCell ref="C204:K204"/>
    <mergeCell ref="C215:D215"/>
    <mergeCell ref="C216:D216"/>
    <mergeCell ref="C217:D217"/>
    <mergeCell ref="C218:D218"/>
    <mergeCell ref="C219:D219"/>
    <mergeCell ref="C210:K210"/>
    <mergeCell ref="C211:D211"/>
    <mergeCell ref="C212:K212"/>
    <mergeCell ref="C213:D213"/>
    <mergeCell ref="C214:K214"/>
    <mergeCell ref="C225:D225"/>
    <mergeCell ref="C226:D226"/>
    <mergeCell ref="C227:D227"/>
    <mergeCell ref="C228:D228"/>
    <mergeCell ref="C229:K229"/>
    <mergeCell ref="C220:D220"/>
    <mergeCell ref="C221:D221"/>
    <mergeCell ref="C222:D222"/>
    <mergeCell ref="C223:D223"/>
    <mergeCell ref="C224:D224"/>
    <mergeCell ref="C235:K235"/>
    <mergeCell ref="C236:D236"/>
    <mergeCell ref="C237:K237"/>
    <mergeCell ref="C238:D238"/>
    <mergeCell ref="C239:D239"/>
    <mergeCell ref="C230:D230"/>
    <mergeCell ref="C231:K231"/>
    <mergeCell ref="C232:K232"/>
    <mergeCell ref="C233:D233"/>
    <mergeCell ref="C234:D234"/>
    <mergeCell ref="C245:K245"/>
    <mergeCell ref="C246:D246"/>
    <mergeCell ref="C247:D247"/>
    <mergeCell ref="C248:D248"/>
    <mergeCell ref="C249:K249"/>
    <mergeCell ref="C240:D240"/>
    <mergeCell ref="C241:K241"/>
    <mergeCell ref="C242:D242"/>
    <mergeCell ref="C243:D243"/>
    <mergeCell ref="C244:D244"/>
    <mergeCell ref="C255:D255"/>
    <mergeCell ref="C256:D256"/>
    <mergeCell ref="C257:D257"/>
    <mergeCell ref="C258:D258"/>
    <mergeCell ref="C259:D259"/>
    <mergeCell ref="C250:D250"/>
    <mergeCell ref="C251:K251"/>
    <mergeCell ref="C252:D252"/>
    <mergeCell ref="C253:D253"/>
    <mergeCell ref="C254:K254"/>
    <mergeCell ref="H270:I270"/>
    <mergeCell ref="A272:K272"/>
    <mergeCell ref="C265:D265"/>
    <mergeCell ref="C266:D266"/>
    <mergeCell ref="C267:D267"/>
    <mergeCell ref="C268:D268"/>
    <mergeCell ref="C269:D269"/>
    <mergeCell ref="C260:D260"/>
    <mergeCell ref="C261:D261"/>
    <mergeCell ref="C262:D262"/>
    <mergeCell ref="C263:D263"/>
    <mergeCell ref="C264:K264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CCBF9-64E5-42B8-82B4-6D1E2B985CD5}">
  <dimension ref="A1:G87"/>
  <sheetViews>
    <sheetView tabSelected="1" workbookViewId="0">
      <selection activeCell="L25" sqref="L25"/>
    </sheetView>
  </sheetViews>
  <sheetFormatPr defaultRowHeight="14.4" x14ac:dyDescent="0.3"/>
  <cols>
    <col min="1" max="1" width="53.33203125" customWidth="1"/>
    <col min="2" max="2" width="8.88671875" style="64"/>
    <col min="3" max="3" width="11.109375" style="64" customWidth="1"/>
    <col min="4" max="4" width="8.88671875" style="65"/>
    <col min="5" max="5" width="11.6640625" customWidth="1"/>
    <col min="6" max="6" width="11" style="65" customWidth="1"/>
    <col min="7" max="7" width="17.21875" style="65" customWidth="1"/>
  </cols>
  <sheetData>
    <row r="1" spans="1:7" x14ac:dyDescent="0.3">
      <c r="A1" s="54" t="s">
        <v>671</v>
      </c>
      <c r="B1" s="55" t="s">
        <v>672</v>
      </c>
      <c r="C1" s="55" t="s">
        <v>673</v>
      </c>
      <c r="D1" s="56" t="s">
        <v>674</v>
      </c>
      <c r="E1" s="55" t="s">
        <v>675</v>
      </c>
      <c r="F1" s="56" t="s">
        <v>676</v>
      </c>
      <c r="G1" s="57" t="s">
        <v>677</v>
      </c>
    </row>
    <row r="2" spans="1:7" x14ac:dyDescent="0.3">
      <c r="A2" s="58" t="s">
        <v>678</v>
      </c>
      <c r="B2" s="59" t="s">
        <v>55</v>
      </c>
      <c r="C2" s="59" t="s">
        <v>679</v>
      </c>
      <c r="D2" s="60">
        <v>0</v>
      </c>
      <c r="E2" s="61">
        <v>880</v>
      </c>
      <c r="F2" s="60">
        <v>10560</v>
      </c>
      <c r="G2" s="62">
        <f>SUM(D2*E2)</f>
        <v>0</v>
      </c>
    </row>
    <row r="3" spans="1:7" x14ac:dyDescent="0.3">
      <c r="A3" s="63" t="s">
        <v>680</v>
      </c>
      <c r="B3" s="64" t="s">
        <v>277</v>
      </c>
      <c r="C3" s="64" t="s">
        <v>681</v>
      </c>
      <c r="D3" s="65">
        <v>0</v>
      </c>
      <c r="E3">
        <v>336</v>
      </c>
      <c r="G3" s="66">
        <f t="shared" ref="G3:G34" si="0">SUM(D3*E3)</f>
        <v>0</v>
      </c>
    </row>
    <row r="4" spans="1:7" x14ac:dyDescent="0.3">
      <c r="A4" s="67" t="s">
        <v>682</v>
      </c>
      <c r="B4" s="68" t="s">
        <v>277</v>
      </c>
      <c r="C4" s="68" t="s">
        <v>681</v>
      </c>
      <c r="D4" s="69">
        <v>0</v>
      </c>
      <c r="E4" s="70">
        <v>38</v>
      </c>
      <c r="F4" s="69"/>
      <c r="G4" s="71">
        <f t="shared" si="0"/>
        <v>0</v>
      </c>
    </row>
    <row r="5" spans="1:7" x14ac:dyDescent="0.3">
      <c r="A5" s="63"/>
      <c r="G5" s="66">
        <f t="shared" si="0"/>
        <v>0</v>
      </c>
    </row>
    <row r="6" spans="1:7" x14ac:dyDescent="0.3">
      <c r="A6" s="58" t="s">
        <v>683</v>
      </c>
      <c r="B6" s="59" t="s">
        <v>684</v>
      </c>
      <c r="C6" s="59" t="s">
        <v>685</v>
      </c>
      <c r="D6" s="60">
        <v>0</v>
      </c>
      <c r="E6" s="61">
        <v>0</v>
      </c>
      <c r="F6" s="60"/>
      <c r="G6" s="62">
        <f t="shared" si="0"/>
        <v>0</v>
      </c>
    </row>
    <row r="7" spans="1:7" x14ac:dyDescent="0.3">
      <c r="A7" s="63" t="s">
        <v>686</v>
      </c>
      <c r="B7" s="64" t="s">
        <v>684</v>
      </c>
      <c r="C7" s="64" t="s">
        <v>685</v>
      </c>
      <c r="D7" s="65">
        <v>0</v>
      </c>
      <c r="E7">
        <v>150</v>
      </c>
      <c r="F7" s="65">
        <v>75</v>
      </c>
      <c r="G7" s="66">
        <f t="shared" si="0"/>
        <v>0</v>
      </c>
    </row>
    <row r="8" spans="1:7" x14ac:dyDescent="0.3">
      <c r="A8" s="63" t="s">
        <v>687</v>
      </c>
      <c r="B8" s="64" t="s">
        <v>684</v>
      </c>
      <c r="C8" s="64" t="s">
        <v>688</v>
      </c>
      <c r="D8" s="65">
        <v>0</v>
      </c>
      <c r="E8">
        <v>151.19999999999999</v>
      </c>
      <c r="F8" s="65">
        <v>84</v>
      </c>
      <c r="G8" s="66">
        <f t="shared" si="0"/>
        <v>0</v>
      </c>
    </row>
    <row r="9" spans="1:7" x14ac:dyDescent="0.3">
      <c r="A9" s="63" t="s">
        <v>689</v>
      </c>
      <c r="B9" s="64" t="s">
        <v>684</v>
      </c>
      <c r="C9" s="64" t="s">
        <v>690</v>
      </c>
      <c r="D9" s="65">
        <v>0</v>
      </c>
      <c r="E9">
        <v>15</v>
      </c>
      <c r="F9" s="65">
        <v>5</v>
      </c>
      <c r="G9" s="66">
        <f t="shared" si="0"/>
        <v>0</v>
      </c>
    </row>
    <row r="10" spans="1:7" x14ac:dyDescent="0.3">
      <c r="A10" s="63" t="s">
        <v>691</v>
      </c>
      <c r="B10" s="64" t="s">
        <v>277</v>
      </c>
      <c r="D10" s="65">
        <v>0</v>
      </c>
      <c r="E10">
        <v>2</v>
      </c>
      <c r="G10" s="66">
        <f t="shared" si="0"/>
        <v>0</v>
      </c>
    </row>
    <row r="11" spans="1:7" x14ac:dyDescent="0.3">
      <c r="A11" s="63" t="s">
        <v>692</v>
      </c>
      <c r="B11" s="64" t="s">
        <v>684</v>
      </c>
      <c r="C11" s="64" t="s">
        <v>693</v>
      </c>
      <c r="D11" s="65">
        <v>0</v>
      </c>
      <c r="E11">
        <v>149.19999999999999</v>
      </c>
      <c r="F11" s="65">
        <v>75</v>
      </c>
      <c r="G11" s="66">
        <f t="shared" si="0"/>
        <v>0</v>
      </c>
    </row>
    <row r="12" spans="1:7" x14ac:dyDescent="0.3">
      <c r="A12" s="63" t="s">
        <v>694</v>
      </c>
      <c r="B12" s="64" t="s">
        <v>277</v>
      </c>
      <c r="D12" s="65">
        <v>0</v>
      </c>
      <c r="E12">
        <v>22</v>
      </c>
      <c r="G12" s="66">
        <f t="shared" si="0"/>
        <v>0</v>
      </c>
    </row>
    <row r="13" spans="1:7" x14ac:dyDescent="0.3">
      <c r="A13" s="63" t="s">
        <v>695</v>
      </c>
      <c r="B13" s="64" t="s">
        <v>684</v>
      </c>
      <c r="C13" s="64" t="s">
        <v>690</v>
      </c>
      <c r="D13" s="65">
        <v>0</v>
      </c>
      <c r="E13">
        <v>84</v>
      </c>
      <c r="F13" s="65">
        <v>28</v>
      </c>
      <c r="G13" s="66">
        <f t="shared" si="0"/>
        <v>0</v>
      </c>
    </row>
    <row r="14" spans="1:7" x14ac:dyDescent="0.3">
      <c r="A14" s="67" t="s">
        <v>696</v>
      </c>
      <c r="B14" s="68" t="s">
        <v>684</v>
      </c>
      <c r="C14" s="68" t="s">
        <v>697</v>
      </c>
      <c r="D14" s="69">
        <v>0</v>
      </c>
      <c r="E14" s="70">
        <v>38</v>
      </c>
      <c r="F14" s="69">
        <v>19</v>
      </c>
      <c r="G14" s="71">
        <f t="shared" si="0"/>
        <v>0</v>
      </c>
    </row>
    <row r="15" spans="1:7" x14ac:dyDescent="0.3">
      <c r="A15" s="63"/>
      <c r="G15" s="66">
        <f t="shared" si="0"/>
        <v>0</v>
      </c>
    </row>
    <row r="16" spans="1:7" x14ac:dyDescent="0.3">
      <c r="A16" s="58" t="s">
        <v>698</v>
      </c>
      <c r="B16" s="59" t="s">
        <v>277</v>
      </c>
      <c r="C16" s="59"/>
      <c r="D16" s="60">
        <v>0</v>
      </c>
      <c r="E16" s="61">
        <v>2300</v>
      </c>
      <c r="F16" s="60"/>
      <c r="G16" s="62">
        <f t="shared" si="0"/>
        <v>0</v>
      </c>
    </row>
    <row r="17" spans="1:7" x14ac:dyDescent="0.3">
      <c r="A17" s="63" t="s">
        <v>699</v>
      </c>
      <c r="B17" s="64" t="s">
        <v>277</v>
      </c>
      <c r="D17" s="65">
        <v>0</v>
      </c>
      <c r="E17">
        <v>74</v>
      </c>
      <c r="G17" s="66">
        <f t="shared" si="0"/>
        <v>0</v>
      </c>
    </row>
    <row r="18" spans="1:7" x14ac:dyDescent="0.3">
      <c r="A18" s="63" t="s">
        <v>700</v>
      </c>
      <c r="B18" s="64" t="s">
        <v>684</v>
      </c>
      <c r="C18" s="64" t="s">
        <v>690</v>
      </c>
      <c r="D18" s="65">
        <v>0</v>
      </c>
      <c r="E18">
        <v>201</v>
      </c>
      <c r="G18" s="66">
        <f t="shared" si="0"/>
        <v>0</v>
      </c>
    </row>
    <row r="19" spans="1:7" x14ac:dyDescent="0.3">
      <c r="A19" s="63" t="s">
        <v>701</v>
      </c>
      <c r="B19" s="64" t="s">
        <v>277</v>
      </c>
      <c r="D19" s="65">
        <v>0</v>
      </c>
      <c r="E19">
        <v>800</v>
      </c>
      <c r="G19" s="66">
        <f t="shared" si="0"/>
        <v>0</v>
      </c>
    </row>
    <row r="20" spans="1:7" x14ac:dyDescent="0.3">
      <c r="A20" s="67" t="s">
        <v>702</v>
      </c>
      <c r="B20" s="68" t="s">
        <v>277</v>
      </c>
      <c r="C20" s="68"/>
      <c r="D20" s="69">
        <v>0</v>
      </c>
      <c r="E20" s="70">
        <v>24</v>
      </c>
      <c r="F20" s="69"/>
      <c r="G20" s="71">
        <f t="shared" si="0"/>
        <v>0</v>
      </c>
    </row>
    <row r="21" spans="1:7" x14ac:dyDescent="0.3">
      <c r="A21" s="63"/>
      <c r="G21" s="66">
        <f t="shared" si="0"/>
        <v>0</v>
      </c>
    </row>
    <row r="22" spans="1:7" x14ac:dyDescent="0.3">
      <c r="A22" s="58" t="s">
        <v>703</v>
      </c>
      <c r="B22" s="59" t="s">
        <v>277</v>
      </c>
      <c r="C22" s="59"/>
      <c r="D22" s="60">
        <v>0</v>
      </c>
      <c r="E22" s="61"/>
      <c r="F22" s="60"/>
      <c r="G22" s="62">
        <f t="shared" si="0"/>
        <v>0</v>
      </c>
    </row>
    <row r="23" spans="1:7" x14ac:dyDescent="0.3">
      <c r="A23" s="63" t="s">
        <v>704</v>
      </c>
      <c r="B23" s="64" t="s">
        <v>277</v>
      </c>
      <c r="D23" s="65">
        <v>0</v>
      </c>
      <c r="E23">
        <v>5</v>
      </c>
      <c r="G23" s="66">
        <f t="shared" si="0"/>
        <v>0</v>
      </c>
    </row>
    <row r="24" spans="1:7" x14ac:dyDescent="0.3">
      <c r="A24" s="63" t="s">
        <v>705</v>
      </c>
      <c r="B24" s="64" t="s">
        <v>277</v>
      </c>
      <c r="D24" s="65">
        <v>0</v>
      </c>
      <c r="E24">
        <v>5</v>
      </c>
      <c r="G24" s="66">
        <f t="shared" si="0"/>
        <v>0</v>
      </c>
    </row>
    <row r="25" spans="1:7" x14ac:dyDescent="0.3">
      <c r="A25" s="63" t="s">
        <v>706</v>
      </c>
      <c r="B25" s="64" t="s">
        <v>277</v>
      </c>
      <c r="D25" s="65">
        <v>0</v>
      </c>
      <c r="E25">
        <v>5</v>
      </c>
      <c r="G25" s="66">
        <f t="shared" si="0"/>
        <v>0</v>
      </c>
    </row>
    <row r="26" spans="1:7" x14ac:dyDescent="0.3">
      <c r="A26" s="63" t="s">
        <v>707</v>
      </c>
      <c r="B26" s="64" t="s">
        <v>277</v>
      </c>
      <c r="D26" s="65">
        <v>0</v>
      </c>
      <c r="E26">
        <v>6</v>
      </c>
      <c r="G26" s="66">
        <f t="shared" si="0"/>
        <v>0</v>
      </c>
    </row>
    <row r="27" spans="1:7" x14ac:dyDescent="0.3">
      <c r="A27" s="63" t="s">
        <v>708</v>
      </c>
      <c r="B27" s="64" t="s">
        <v>277</v>
      </c>
      <c r="D27" s="65">
        <v>0</v>
      </c>
      <c r="E27">
        <v>4</v>
      </c>
      <c r="G27" s="66">
        <f t="shared" si="0"/>
        <v>0</v>
      </c>
    </row>
    <row r="28" spans="1:7" x14ac:dyDescent="0.3">
      <c r="A28" s="63" t="s">
        <v>709</v>
      </c>
      <c r="B28" s="64" t="s">
        <v>277</v>
      </c>
      <c r="D28" s="65">
        <v>0</v>
      </c>
      <c r="G28" s="66">
        <f t="shared" si="0"/>
        <v>0</v>
      </c>
    </row>
    <row r="29" spans="1:7" x14ac:dyDescent="0.3">
      <c r="A29" s="63" t="s">
        <v>710</v>
      </c>
      <c r="B29" s="64" t="s">
        <v>277</v>
      </c>
      <c r="D29" s="65">
        <v>0</v>
      </c>
      <c r="E29">
        <v>12</v>
      </c>
      <c r="G29" s="66">
        <f t="shared" si="0"/>
        <v>0</v>
      </c>
    </row>
    <row r="30" spans="1:7" x14ac:dyDescent="0.3">
      <c r="A30" s="67" t="s">
        <v>711</v>
      </c>
      <c r="B30" s="68" t="s">
        <v>277</v>
      </c>
      <c r="C30" s="68"/>
      <c r="D30" s="69">
        <v>0</v>
      </c>
      <c r="E30" s="70">
        <v>3</v>
      </c>
      <c r="F30" s="69"/>
      <c r="G30" s="71">
        <f t="shared" si="0"/>
        <v>0</v>
      </c>
    </row>
    <row r="31" spans="1:7" x14ac:dyDescent="0.3">
      <c r="A31" s="63" t="s">
        <v>712</v>
      </c>
      <c r="B31" s="68" t="s">
        <v>277</v>
      </c>
      <c r="C31" s="68"/>
      <c r="D31" s="69">
        <v>0</v>
      </c>
      <c r="E31" s="70">
        <v>44</v>
      </c>
      <c r="F31" s="69"/>
      <c r="G31" s="71">
        <f t="shared" si="0"/>
        <v>0</v>
      </c>
    </row>
    <row r="32" spans="1:7" x14ac:dyDescent="0.3">
      <c r="A32" s="63" t="s">
        <v>713</v>
      </c>
      <c r="B32" s="68" t="s">
        <v>277</v>
      </c>
      <c r="C32" s="68"/>
      <c r="D32" s="69">
        <v>0</v>
      </c>
      <c r="E32" s="70">
        <v>4</v>
      </c>
      <c r="F32" s="69"/>
      <c r="G32" s="71">
        <f t="shared" si="0"/>
        <v>0</v>
      </c>
    </row>
    <row r="33" spans="1:7" x14ac:dyDescent="0.3">
      <c r="A33" s="63"/>
      <c r="G33" s="66">
        <f t="shared" si="0"/>
        <v>0</v>
      </c>
    </row>
    <row r="34" spans="1:7" ht="28.8" x14ac:dyDescent="0.3">
      <c r="A34" s="72" t="s">
        <v>714</v>
      </c>
      <c r="B34" s="73" t="s">
        <v>55</v>
      </c>
      <c r="C34" s="73" t="s">
        <v>715</v>
      </c>
      <c r="D34" s="74">
        <v>0</v>
      </c>
      <c r="E34" s="75">
        <v>210</v>
      </c>
      <c r="F34" s="74">
        <v>240</v>
      </c>
      <c r="G34" s="76">
        <f t="shared" si="0"/>
        <v>0</v>
      </c>
    </row>
    <row r="35" spans="1:7" x14ac:dyDescent="0.3">
      <c r="A35" s="63"/>
      <c r="G35" s="66"/>
    </row>
    <row r="36" spans="1:7" x14ac:dyDescent="0.3">
      <c r="A36" s="77" t="s">
        <v>716</v>
      </c>
      <c r="B36" s="59"/>
      <c r="C36" s="59"/>
      <c r="D36" s="60"/>
      <c r="E36" s="61"/>
      <c r="F36" s="60"/>
      <c r="G36" s="62">
        <f>SUM(G2:G35)</f>
        <v>0</v>
      </c>
    </row>
    <row r="37" spans="1:7" ht="15" thickBot="1" x14ac:dyDescent="0.35">
      <c r="A37" s="78" t="s">
        <v>717</v>
      </c>
      <c r="B37" s="79">
        <v>1.1200000000000001</v>
      </c>
      <c r="C37" s="79"/>
      <c r="D37" s="80"/>
      <c r="E37" s="81"/>
      <c r="F37" s="80"/>
      <c r="G37" s="82">
        <f>SUM(B37*G36)</f>
        <v>0</v>
      </c>
    </row>
    <row r="41" spans="1:7" ht="15" thickBot="1" x14ac:dyDescent="0.35"/>
    <row r="42" spans="1:7" x14ac:dyDescent="0.3">
      <c r="A42" s="54" t="s">
        <v>718</v>
      </c>
      <c r="B42" s="55" t="s">
        <v>672</v>
      </c>
      <c r="C42" s="55" t="s">
        <v>673</v>
      </c>
      <c r="D42" s="56" t="s">
        <v>674</v>
      </c>
      <c r="E42" s="55" t="s">
        <v>675</v>
      </c>
      <c r="F42" s="56" t="s">
        <v>676</v>
      </c>
      <c r="G42" s="57" t="s">
        <v>677</v>
      </c>
    </row>
    <row r="43" spans="1:7" x14ac:dyDescent="0.3">
      <c r="A43" s="58" t="s">
        <v>719</v>
      </c>
      <c r="B43" s="59" t="s">
        <v>684</v>
      </c>
      <c r="C43" s="59"/>
      <c r="D43" s="60">
        <v>0</v>
      </c>
      <c r="E43" s="61">
        <v>50</v>
      </c>
      <c r="F43" s="60"/>
      <c r="G43" s="62">
        <f>SUM(D43*E43)</f>
        <v>0</v>
      </c>
    </row>
    <row r="44" spans="1:7" x14ac:dyDescent="0.3">
      <c r="A44" s="63" t="s">
        <v>720</v>
      </c>
      <c r="B44" s="64" t="s">
        <v>684</v>
      </c>
      <c r="D44" s="65">
        <v>0</v>
      </c>
      <c r="E44">
        <v>3</v>
      </c>
      <c r="G44" s="66">
        <f t="shared" ref="G44:G49" si="1">SUM(D44*E44)</f>
        <v>0</v>
      </c>
    </row>
    <row r="45" spans="1:7" x14ac:dyDescent="0.3">
      <c r="A45" s="63" t="s">
        <v>721</v>
      </c>
      <c r="B45" s="64" t="s">
        <v>277</v>
      </c>
      <c r="D45" s="65">
        <v>0</v>
      </c>
      <c r="E45">
        <v>53</v>
      </c>
      <c r="G45" s="66">
        <f t="shared" si="1"/>
        <v>0</v>
      </c>
    </row>
    <row r="46" spans="1:7" x14ac:dyDescent="0.3">
      <c r="A46" s="63" t="s">
        <v>722</v>
      </c>
      <c r="B46" s="64" t="s">
        <v>277</v>
      </c>
      <c r="D46" s="65">
        <v>0</v>
      </c>
      <c r="G46" s="66">
        <f t="shared" si="1"/>
        <v>0</v>
      </c>
    </row>
    <row r="47" spans="1:7" x14ac:dyDescent="0.3">
      <c r="A47" s="63" t="s">
        <v>723</v>
      </c>
      <c r="B47" s="64" t="s">
        <v>277</v>
      </c>
      <c r="D47" s="65">
        <v>0</v>
      </c>
      <c r="E47">
        <v>36</v>
      </c>
      <c r="G47" s="66">
        <f t="shared" si="1"/>
        <v>0</v>
      </c>
    </row>
    <row r="48" spans="1:7" x14ac:dyDescent="0.3">
      <c r="A48" s="63" t="s">
        <v>724</v>
      </c>
      <c r="B48" s="64" t="s">
        <v>277</v>
      </c>
      <c r="D48" s="65">
        <v>0</v>
      </c>
      <c r="E48">
        <v>18</v>
      </c>
      <c r="G48" s="66">
        <f t="shared" si="1"/>
        <v>0</v>
      </c>
    </row>
    <row r="49" spans="1:7" x14ac:dyDescent="0.3">
      <c r="A49" s="67" t="s">
        <v>725</v>
      </c>
      <c r="B49" s="68" t="s">
        <v>277</v>
      </c>
      <c r="C49" s="68"/>
      <c r="D49" s="69">
        <v>0</v>
      </c>
      <c r="E49" s="70">
        <v>1</v>
      </c>
      <c r="F49" s="69"/>
      <c r="G49" s="71">
        <f t="shared" si="1"/>
        <v>0</v>
      </c>
    </row>
    <row r="50" spans="1:7" x14ac:dyDescent="0.3">
      <c r="A50" s="63"/>
      <c r="G50" s="66"/>
    </row>
    <row r="51" spans="1:7" x14ac:dyDescent="0.3">
      <c r="A51" s="77" t="s">
        <v>716</v>
      </c>
      <c r="B51" s="59"/>
      <c r="C51" s="59"/>
      <c r="D51" s="60"/>
      <c r="E51" s="61"/>
      <c r="F51" s="60"/>
      <c r="G51" s="62">
        <f>SUM(G43:G50)</f>
        <v>0</v>
      </c>
    </row>
    <row r="52" spans="1:7" ht="15" thickBot="1" x14ac:dyDescent="0.35">
      <c r="A52" s="78" t="s">
        <v>717</v>
      </c>
      <c r="B52" s="79">
        <v>1.1200000000000001</v>
      </c>
      <c r="C52" s="79"/>
      <c r="D52" s="80"/>
      <c r="E52" s="81"/>
      <c r="F52" s="80"/>
      <c r="G52" s="82">
        <f>SUM(B52*G51)</f>
        <v>0</v>
      </c>
    </row>
    <row r="56" spans="1:7" ht="15" thickBot="1" x14ac:dyDescent="0.35"/>
    <row r="57" spans="1:7" x14ac:dyDescent="0.3">
      <c r="A57" s="54" t="s">
        <v>726</v>
      </c>
      <c r="B57" s="55" t="s">
        <v>672</v>
      </c>
      <c r="C57" s="55" t="s">
        <v>673</v>
      </c>
      <c r="D57" s="56" t="s">
        <v>674</v>
      </c>
      <c r="E57" s="55" t="s">
        <v>675</v>
      </c>
      <c r="F57" s="56" t="s">
        <v>676</v>
      </c>
      <c r="G57" s="57" t="s">
        <v>677</v>
      </c>
    </row>
    <row r="58" spans="1:7" x14ac:dyDescent="0.3">
      <c r="A58" s="58" t="s">
        <v>727</v>
      </c>
      <c r="B58" s="59" t="s">
        <v>684</v>
      </c>
      <c r="C58" s="59"/>
      <c r="D58" s="60">
        <v>0</v>
      </c>
      <c r="E58" s="61">
        <v>93</v>
      </c>
      <c r="F58" s="60"/>
      <c r="G58" s="62">
        <f>SUM(D58*E58)</f>
        <v>0</v>
      </c>
    </row>
    <row r="59" spans="1:7" x14ac:dyDescent="0.3">
      <c r="A59" s="63" t="s">
        <v>728</v>
      </c>
      <c r="B59" s="64" t="s">
        <v>277</v>
      </c>
      <c r="D59" s="65">
        <v>0</v>
      </c>
      <c r="E59">
        <v>75</v>
      </c>
      <c r="G59" s="66">
        <f t="shared" ref="G59:G61" si="2">SUM(D59*E59)</f>
        <v>0</v>
      </c>
    </row>
    <row r="60" spans="1:7" x14ac:dyDescent="0.3">
      <c r="A60" s="63" t="s">
        <v>729</v>
      </c>
      <c r="B60" s="64" t="s">
        <v>277</v>
      </c>
      <c r="D60" s="65">
        <v>0</v>
      </c>
      <c r="E60">
        <v>20</v>
      </c>
      <c r="G60" s="66">
        <f t="shared" si="2"/>
        <v>0</v>
      </c>
    </row>
    <row r="61" spans="1:7" x14ac:dyDescent="0.3">
      <c r="A61" s="67" t="s">
        <v>730</v>
      </c>
      <c r="B61" s="68" t="s">
        <v>277</v>
      </c>
      <c r="C61" s="68"/>
      <c r="D61" s="69">
        <v>0</v>
      </c>
      <c r="E61" s="70">
        <v>32</v>
      </c>
      <c r="F61" s="69"/>
      <c r="G61" s="71">
        <f t="shared" si="2"/>
        <v>0</v>
      </c>
    </row>
    <row r="62" spans="1:7" x14ac:dyDescent="0.3">
      <c r="A62" s="63"/>
      <c r="G62" s="66"/>
    </row>
    <row r="63" spans="1:7" x14ac:dyDescent="0.3">
      <c r="A63" s="77" t="s">
        <v>716</v>
      </c>
      <c r="B63" s="59"/>
      <c r="C63" s="59"/>
      <c r="D63" s="60"/>
      <c r="E63" s="61"/>
      <c r="F63" s="60"/>
      <c r="G63" s="62">
        <f>SUM(G58:G62)</f>
        <v>0</v>
      </c>
    </row>
    <row r="64" spans="1:7" ht="15" thickBot="1" x14ac:dyDescent="0.35">
      <c r="A64" s="78" t="s">
        <v>717</v>
      </c>
      <c r="B64" s="79">
        <v>1.1200000000000001</v>
      </c>
      <c r="C64" s="79"/>
      <c r="D64" s="80"/>
      <c r="E64" s="81"/>
      <c r="F64" s="80"/>
      <c r="G64" s="82">
        <f>SUM(B64*G63)</f>
        <v>0</v>
      </c>
    </row>
    <row r="68" spans="1:7" ht="15" thickBot="1" x14ac:dyDescent="0.35"/>
    <row r="69" spans="1:7" x14ac:dyDescent="0.3">
      <c r="A69" s="54" t="s">
        <v>731</v>
      </c>
      <c r="B69" s="55" t="s">
        <v>672</v>
      </c>
      <c r="C69" s="55" t="s">
        <v>673</v>
      </c>
      <c r="D69" s="56" t="s">
        <v>674</v>
      </c>
      <c r="E69" s="55" t="s">
        <v>675</v>
      </c>
      <c r="F69" s="56" t="s">
        <v>676</v>
      </c>
      <c r="G69" s="57" t="s">
        <v>677</v>
      </c>
    </row>
    <row r="70" spans="1:7" x14ac:dyDescent="0.3">
      <c r="A70" s="58" t="s">
        <v>732</v>
      </c>
      <c r="B70" s="59" t="s">
        <v>684</v>
      </c>
      <c r="C70" s="59"/>
      <c r="D70" s="60">
        <v>0</v>
      </c>
      <c r="E70" s="61">
        <v>78</v>
      </c>
      <c r="F70" s="60"/>
      <c r="G70" s="62">
        <f>SUM(D70*E70)</f>
        <v>0</v>
      </c>
    </row>
    <row r="71" spans="1:7" x14ac:dyDescent="0.3">
      <c r="A71" s="63" t="s">
        <v>733</v>
      </c>
      <c r="B71" s="64" t="s">
        <v>684</v>
      </c>
      <c r="D71" s="65">
        <v>0</v>
      </c>
      <c r="E71">
        <v>6</v>
      </c>
      <c r="G71" s="66">
        <f t="shared" ref="G71:G75" si="3">SUM(D71*E71)</f>
        <v>0</v>
      </c>
    </row>
    <row r="72" spans="1:7" x14ac:dyDescent="0.3">
      <c r="A72" s="63" t="s">
        <v>734</v>
      </c>
      <c r="B72" s="64" t="s">
        <v>277</v>
      </c>
      <c r="D72" s="65">
        <v>0</v>
      </c>
      <c r="E72">
        <v>156</v>
      </c>
      <c r="G72" s="66">
        <f t="shared" si="3"/>
        <v>0</v>
      </c>
    </row>
    <row r="73" spans="1:7" x14ac:dyDescent="0.3">
      <c r="A73" s="63" t="s">
        <v>735</v>
      </c>
      <c r="B73" s="64" t="s">
        <v>277</v>
      </c>
      <c r="D73" s="65">
        <v>0</v>
      </c>
      <c r="E73">
        <v>7</v>
      </c>
      <c r="G73" s="66">
        <f t="shared" si="3"/>
        <v>0</v>
      </c>
    </row>
    <row r="74" spans="1:7" x14ac:dyDescent="0.3">
      <c r="A74" s="63" t="s">
        <v>736</v>
      </c>
      <c r="B74" s="64" t="s">
        <v>277</v>
      </c>
      <c r="D74" s="65">
        <v>0</v>
      </c>
      <c r="E74">
        <v>4</v>
      </c>
      <c r="G74" s="66">
        <f t="shared" si="3"/>
        <v>0</v>
      </c>
    </row>
    <row r="75" spans="1:7" x14ac:dyDescent="0.3">
      <c r="A75" s="67" t="s">
        <v>725</v>
      </c>
      <c r="B75" s="68" t="s">
        <v>277</v>
      </c>
      <c r="C75" s="68"/>
      <c r="D75" s="69">
        <v>0</v>
      </c>
      <c r="E75" s="70">
        <v>3</v>
      </c>
      <c r="F75" s="69"/>
      <c r="G75" s="71">
        <f t="shared" si="3"/>
        <v>0</v>
      </c>
    </row>
    <row r="76" spans="1:7" x14ac:dyDescent="0.3">
      <c r="A76" s="63"/>
      <c r="G76" s="66"/>
    </row>
    <row r="77" spans="1:7" x14ac:dyDescent="0.3">
      <c r="A77" s="77" t="s">
        <v>716</v>
      </c>
      <c r="B77" s="59"/>
      <c r="C77" s="59"/>
      <c r="D77" s="60"/>
      <c r="E77" s="61"/>
      <c r="F77" s="60"/>
      <c r="G77" s="62">
        <f>SUM(G70:G75)</f>
        <v>0</v>
      </c>
    </row>
    <row r="78" spans="1:7" ht="15" thickBot="1" x14ac:dyDescent="0.35">
      <c r="A78" s="78" t="s">
        <v>717</v>
      </c>
      <c r="B78" s="79">
        <v>1.1200000000000001</v>
      </c>
      <c r="C78" s="79"/>
      <c r="D78" s="80"/>
      <c r="E78" s="81"/>
      <c r="F78" s="80"/>
      <c r="G78" s="82">
        <f>SUM(B78*G77)</f>
        <v>0</v>
      </c>
    </row>
    <row r="83" spans="1:7" ht="15" thickBot="1" x14ac:dyDescent="0.35"/>
    <row r="84" spans="1:7" x14ac:dyDescent="0.3">
      <c r="A84" s="83" t="s">
        <v>737</v>
      </c>
      <c r="B84" s="84"/>
      <c r="C84" s="84"/>
      <c r="D84" s="85"/>
      <c r="E84" s="86"/>
      <c r="F84" s="85"/>
      <c r="G84" s="87"/>
    </row>
    <row r="85" spans="1:7" x14ac:dyDescent="0.3">
      <c r="A85" s="63"/>
      <c r="G85" s="66"/>
    </row>
    <row r="86" spans="1:7" x14ac:dyDescent="0.3">
      <c r="A86" s="77" t="s">
        <v>716</v>
      </c>
      <c r="B86" s="59"/>
      <c r="C86" s="59"/>
      <c r="D86" s="60"/>
      <c r="E86" s="61"/>
      <c r="F86" s="60"/>
      <c r="G86" s="62">
        <f>SUM(G77,G63,G51,G36)</f>
        <v>0</v>
      </c>
    </row>
    <row r="87" spans="1:7" ht="15" thickBot="1" x14ac:dyDescent="0.35">
      <c r="A87" s="78" t="s">
        <v>717</v>
      </c>
      <c r="B87" s="79">
        <v>1.1200000000000001</v>
      </c>
      <c r="C87" s="79"/>
      <c r="D87" s="80"/>
      <c r="E87" s="81"/>
      <c r="F87" s="80"/>
      <c r="G87" s="82">
        <f>SUM(B87*G86)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 rozpočtu</vt:lpstr>
      <vt:lpstr>Stavební rozpočet</vt:lpstr>
      <vt:lpstr>VV-výkaz materiálu střecha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Pavel Tesař</cp:lastModifiedBy>
  <dcterms:created xsi:type="dcterms:W3CDTF">2021-06-10T20:06:38Z</dcterms:created>
  <dcterms:modified xsi:type="dcterms:W3CDTF">2025-02-21T08:18:54Z</dcterms:modified>
</cp:coreProperties>
</file>