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/>
  <bookViews>
    <workbookView xWindow="0" yWindow="465" windowWidth="20745" windowHeight="9540" activeTab="0"/>
  </bookViews>
  <sheets>
    <sheet name="Tabulka č. 1" sheetId="7" r:id="rId1"/>
    <sheet name="Tabulka č. 2" sheetId="8" r:id="rId2"/>
    <sheet name="Tabulka č. 3" sheetId="9" r:id="rId3"/>
    <sheet name="Tabulka č. 4" sheetId="10" r:id="rId4"/>
    <sheet name="Tabulka č. 5" sheetId="13" r:id="rId5"/>
  </sheets>
  <definedNames/>
  <calcPr calcId="191029"/>
</workbook>
</file>

<file path=xl/sharedStrings.xml><?xml version="1.0" encoding="utf-8"?>
<sst xmlns="http://schemas.openxmlformats.org/spreadsheetml/2006/main" count="139" uniqueCount="66">
  <si>
    <t>Název zboží</t>
  </si>
  <si>
    <t>Varianta</t>
  </si>
  <si>
    <t>zelená</t>
  </si>
  <si>
    <t>bílá</t>
  </si>
  <si>
    <t>Cena bez DPH (za 1 ks)</t>
  </si>
  <si>
    <t>Počet ks/rok</t>
  </si>
  <si>
    <t>modré</t>
  </si>
  <si>
    <t xml:space="preserve">bílý </t>
  </si>
  <si>
    <t xml:space="preserve">bílá </t>
  </si>
  <si>
    <t>bílé</t>
  </si>
  <si>
    <t>žluté</t>
  </si>
  <si>
    <t>datum:</t>
  </si>
  <si>
    <t>………………………………..</t>
  </si>
  <si>
    <t>Název</t>
  </si>
  <si>
    <t>Celk. cena bez DPH za 1 rok</t>
  </si>
  <si>
    <t>Celk. cena vč. DPH za 1 rok</t>
  </si>
  <si>
    <t>Cena za komplexní servis za 1 rok</t>
  </si>
  <si>
    <t>Cena za komplexní servis za 4 roky</t>
  </si>
  <si>
    <t>DPH v Kč</t>
  </si>
  <si>
    <t>Celkem DPH v Kč</t>
  </si>
  <si>
    <t>Cena celkem za praní a chemické čištění za 1 rok</t>
  </si>
  <si>
    <t>Cena celkem za praní a chemické čištění za 4 roky</t>
  </si>
  <si>
    <t>Cena s DPH (za 1 ks)</t>
  </si>
  <si>
    <t>Tabulka č. 2 - Sortiment a ceník nesystémového prádla v nemocnici Karlovy Vary</t>
  </si>
  <si>
    <t>Tabulka č. 4 - Sortiment a ceník nesystémového prádla v nemocnici Cheb</t>
  </si>
  <si>
    <t xml:space="preserve">Tabulka č. 5 - Sortiment a ceník prádla na praní a chemické čištění    </t>
  </si>
  <si>
    <t>Celková cena bez DPH za 1 rok</t>
  </si>
  <si>
    <t>z toho cena bez DPH za pronájem prádla (za 1 ks)</t>
  </si>
  <si>
    <t>z toho celková cena bez DPH za pronájem</t>
  </si>
  <si>
    <t>Tabulka č. 1 - Sortiment a ceník systémového prádla v nemocnici Karlovy Vary</t>
  </si>
  <si>
    <t>Tabulka č. 3 - Sortiment a ceník systémového prádla v nemocnici Cheb</t>
  </si>
  <si>
    <t>Kód zboží Poskytovatele</t>
  </si>
  <si>
    <t>Příloha č. 1</t>
  </si>
  <si>
    <t>razítko a podpis oprávněné osoby</t>
  </si>
  <si>
    <t>z toho cena bez DPH za praní prádla (za 1 ks)</t>
  </si>
  <si>
    <t>z toho celková cena bez DPH za praní prádla</t>
  </si>
  <si>
    <t>z toho celková cena bez DPH za pronájem prádla</t>
  </si>
  <si>
    <t xml:space="preserve">žlutá </t>
  </si>
  <si>
    <t xml:space="preserve">fialové </t>
  </si>
  <si>
    <t xml:space="preserve"> </t>
  </si>
  <si>
    <t>béžový</t>
  </si>
  <si>
    <t>béžové</t>
  </si>
  <si>
    <t>béžová</t>
  </si>
  <si>
    <t xml:space="preserve">bílé </t>
  </si>
  <si>
    <t>zelené</t>
  </si>
  <si>
    <t xml:space="preserve">žluté </t>
  </si>
  <si>
    <t>šaty bez límce bílý P</t>
  </si>
  <si>
    <t>bunda bez podšívky, bunda do pasu</t>
  </si>
  <si>
    <t>bunda s podšívkou, bunda pod pas</t>
  </si>
  <si>
    <t>bunda péřová, vesta péřová</t>
  </si>
  <si>
    <t>drobnosti (čepice, kapuce), kazajka svěrací, sedák</t>
  </si>
  <si>
    <t>ortézy</t>
  </si>
  <si>
    <t>dekuba</t>
  </si>
  <si>
    <t>deka malá obyčejná</t>
  </si>
  <si>
    <t>deka prošívaná malá</t>
  </si>
  <si>
    <t>polštář malý prošívaný</t>
  </si>
  <si>
    <t>polštář velký prošívaný</t>
  </si>
  <si>
    <t>přikrývka prošívaná velká</t>
  </si>
  <si>
    <t>molitan malý, polštář malý</t>
  </si>
  <si>
    <t>péřový polštář</t>
  </si>
  <si>
    <t>přikrývka(deka)</t>
  </si>
  <si>
    <t>péřová proš. přikrývka, péřový spací pytel</t>
  </si>
  <si>
    <r>
      <t>polštář, autopotah za 1m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přehoz, závěs za m, text</t>
    </r>
  </si>
  <si>
    <t>halena operační (ČSN EN 13795-2)</t>
  </si>
  <si>
    <t>kalhoty operační (ČSN EN 13795-2)</t>
  </si>
  <si>
    <t>plášť operační (ČSN EN 13795-1)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</si>
</sst>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??,??0"/>
    <numFmt numFmtId="165" formatCode="?,??0.00"/>
    <numFmt numFmtId="166" formatCode="??,???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medium"/>
    </border>
    <border>
      <left/>
      <right/>
      <top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24" borderId="0" applyNumberFormat="0" applyBorder="0" applyAlignment="0" applyProtection="0"/>
    <xf numFmtId="0" fontId="0" fillId="28" borderId="0" applyNumberFormat="0" applyBorder="0" applyAlignment="0" applyProtection="0"/>
    <xf numFmtId="0" fontId="0" fillId="32" borderId="0" applyNumberFormat="0" applyBorder="0" applyAlignment="0" applyProtection="0"/>
  </cellStyleXfs>
  <cellXfs count="158">
    <xf numFmtId="0" fontId="0" fillId="0" borderId="0" xfId="0"/>
    <xf numFmtId="0" fontId="18" fillId="0" borderId="0" xfId="0" applyFont="1" applyAlignment="1">
      <alignment/>
    </xf>
    <xf numFmtId="0" fontId="16" fillId="0" borderId="0" xfId="0" applyFont="1"/>
    <xf numFmtId="0" fontId="18" fillId="0" borderId="0" xfId="0" applyFont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3" fontId="16" fillId="30" borderId="15" xfId="0" applyNumberFormat="1" applyFont="1" applyFill="1" applyBorder="1"/>
    <xf numFmtId="0" fontId="0" fillId="0" borderId="0" xfId="0" applyFill="1"/>
    <xf numFmtId="0" fontId="16" fillId="0" borderId="0" xfId="0" applyFont="1" applyFill="1"/>
    <xf numFmtId="0" fontId="16" fillId="30" borderId="16" xfId="0" applyFont="1" applyFill="1" applyBorder="1" applyAlignment="1">
      <alignment horizontal="center" vertical="center"/>
    </xf>
    <xf numFmtId="2" fontId="0" fillId="0" borderId="17" xfId="0" applyNumberFormat="1" applyBorder="1"/>
    <xf numFmtId="3" fontId="0" fillId="0" borderId="17" xfId="0" applyNumberFormat="1" applyBorder="1"/>
    <xf numFmtId="2" fontId="0" fillId="0" borderId="18" xfId="0" applyNumberFormat="1" applyBorder="1"/>
    <xf numFmtId="3" fontId="0" fillId="0" borderId="18" xfId="0" applyNumberFormat="1" applyBorder="1"/>
    <xf numFmtId="3" fontId="0" fillId="0" borderId="14" xfId="0" applyNumberFormat="1" applyBorder="1"/>
    <xf numFmtId="3" fontId="0" fillId="0" borderId="12" xfId="0" applyNumberFormat="1" applyBorder="1"/>
    <xf numFmtId="0" fontId="0" fillId="0" borderId="0" xfId="0" applyFont="1"/>
    <xf numFmtId="0" fontId="20" fillId="30" borderId="19" xfId="0" applyFont="1" applyFill="1" applyBorder="1" applyAlignment="1">
      <alignment horizontal="center" vertical="center" wrapText="1"/>
    </xf>
    <xf numFmtId="0" fontId="20" fillId="30" borderId="20" xfId="0" applyFont="1" applyFill="1" applyBorder="1" applyAlignment="1">
      <alignment horizontal="center" vertical="center" wrapText="1"/>
    </xf>
    <xf numFmtId="0" fontId="0" fillId="0" borderId="0" xfId="0" applyFont="1" applyFill="1"/>
    <xf numFmtId="3" fontId="21" fillId="30" borderId="16" xfId="0" applyNumberFormat="1" applyFont="1" applyFill="1" applyBorder="1"/>
    <xf numFmtId="0" fontId="20" fillId="30" borderId="21" xfId="0" applyFont="1" applyFill="1" applyBorder="1" applyAlignment="1">
      <alignment horizontal="center" vertical="center" wrapText="1"/>
    </xf>
    <xf numFmtId="2" fontId="0" fillId="0" borderId="22" xfId="0" applyNumberFormat="1" applyFont="1" applyBorder="1"/>
    <xf numFmtId="3" fontId="0" fillId="0" borderId="22" xfId="0" applyNumberFormat="1" applyFont="1" applyBorder="1"/>
    <xf numFmtId="3" fontId="0" fillId="0" borderId="23" xfId="0" applyNumberFormat="1" applyFont="1" applyBorder="1"/>
    <xf numFmtId="0" fontId="0" fillId="0" borderId="2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Protection="1">
      <protection/>
    </xf>
    <xf numFmtId="0" fontId="18" fillId="0" borderId="0" xfId="0" applyFont="1" applyAlignment="1" applyProtection="1">
      <alignment horizontal="center"/>
      <protection/>
    </xf>
    <xf numFmtId="0" fontId="16" fillId="30" borderId="21" xfId="0" applyFont="1" applyFill="1" applyBorder="1" applyAlignment="1" applyProtection="1">
      <alignment horizontal="center" vertical="center" wrapText="1"/>
      <protection/>
    </xf>
    <xf numFmtId="0" fontId="16" fillId="30" borderId="20" xfId="0" applyFont="1" applyFill="1" applyBorder="1" applyAlignment="1" applyProtection="1">
      <alignment horizontal="center" vertical="center" wrapText="1"/>
      <protection/>
    </xf>
    <xf numFmtId="0" fontId="20" fillId="30" borderId="25" xfId="0" applyFont="1" applyFill="1" applyBorder="1" applyAlignment="1" applyProtection="1">
      <alignment horizontal="center" vertical="center" wrapText="1"/>
      <protection/>
    </xf>
    <xf numFmtId="0" fontId="20" fillId="30" borderId="19" xfId="0" applyFont="1" applyFill="1" applyBorder="1" applyAlignment="1" applyProtection="1">
      <alignment horizontal="center" vertical="center" wrapText="1"/>
      <protection/>
    </xf>
    <xf numFmtId="0" fontId="20" fillId="30" borderId="20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2" fontId="0" fillId="0" borderId="18" xfId="0" applyNumberFormat="1" applyBorder="1" applyProtection="1">
      <protection/>
    </xf>
    <xf numFmtId="3" fontId="0" fillId="0" borderId="18" xfId="0" applyNumberFormat="1" applyBorder="1" applyProtection="1">
      <protection/>
    </xf>
    <xf numFmtId="3" fontId="0" fillId="0" borderId="14" xfId="0" applyNumberFormat="1" applyBorder="1" applyProtection="1">
      <protection/>
    </xf>
    <xf numFmtId="0" fontId="0" fillId="0" borderId="11" xfId="0" applyBorder="1" applyProtection="1">
      <protection/>
    </xf>
    <xf numFmtId="0" fontId="0" fillId="0" borderId="12" xfId="0" applyBorder="1" applyProtection="1">
      <protection/>
    </xf>
    <xf numFmtId="2" fontId="0" fillId="0" borderId="17" xfId="0" applyNumberFormat="1" applyBorder="1" applyProtection="1">
      <protection/>
    </xf>
    <xf numFmtId="3" fontId="0" fillId="0" borderId="17" xfId="0" applyNumberFormat="1" applyBorder="1" applyProtection="1">
      <protection/>
    </xf>
    <xf numFmtId="3" fontId="0" fillId="0" borderId="12" xfId="0" applyNumberFormat="1" applyBorder="1" applyProtection="1">
      <protection/>
    </xf>
    <xf numFmtId="0" fontId="0" fillId="0" borderId="26" xfId="0" applyBorder="1" applyProtection="1">
      <protection/>
    </xf>
    <xf numFmtId="0" fontId="0" fillId="0" borderId="27" xfId="0" applyBorder="1" applyProtection="1">
      <protection/>
    </xf>
    <xf numFmtId="2" fontId="0" fillId="0" borderId="28" xfId="0" applyNumberFormat="1" applyBorder="1" applyProtection="1">
      <protection/>
    </xf>
    <xf numFmtId="3" fontId="0" fillId="0" borderId="28" xfId="0" applyNumberFormat="1" applyBorder="1" applyProtection="1">
      <protection/>
    </xf>
    <xf numFmtId="3" fontId="0" fillId="0" borderId="27" xfId="0" applyNumberFormat="1" applyBorder="1" applyProtection="1">
      <protection/>
    </xf>
    <xf numFmtId="0" fontId="16" fillId="0" borderId="0" xfId="0" applyFont="1" applyFill="1" applyProtection="1">
      <protection/>
    </xf>
    <xf numFmtId="3" fontId="16" fillId="30" borderId="15" xfId="0" applyNumberFormat="1" applyFont="1" applyFill="1" applyBorder="1" applyProtection="1">
      <protection/>
    </xf>
    <xf numFmtId="0" fontId="16" fillId="0" borderId="0" xfId="0" applyFont="1" applyProtection="1">
      <protection/>
    </xf>
    <xf numFmtId="3" fontId="16" fillId="33" borderId="29" xfId="0" applyNumberFormat="1" applyFont="1" applyFill="1" applyBorder="1" applyProtection="1">
      <protection/>
    </xf>
    <xf numFmtId="3" fontId="16" fillId="33" borderId="30" xfId="0" applyNumberFormat="1" applyFont="1" applyFill="1" applyBorder="1" applyProtection="1">
      <protection/>
    </xf>
    <xf numFmtId="3" fontId="16" fillId="33" borderId="31" xfId="0" applyNumberFormat="1" applyFont="1" applyFill="1" applyBorder="1" applyProtection="1">
      <protection/>
    </xf>
    <xf numFmtId="3" fontId="16" fillId="33" borderId="15" xfId="0" applyNumberFormat="1" applyFont="1" applyFill="1" applyBorder="1" applyProtection="1">
      <protection/>
    </xf>
    <xf numFmtId="3" fontId="16" fillId="33" borderId="16" xfId="0" applyNumberFormat="1" applyFont="1" applyFill="1" applyBorder="1" applyProtection="1">
      <protection/>
    </xf>
    <xf numFmtId="3" fontId="16" fillId="33" borderId="32" xfId="0" applyNumberFormat="1" applyFont="1" applyFill="1" applyBorder="1" applyProtection="1">
      <protection/>
    </xf>
    <xf numFmtId="3" fontId="16" fillId="33" borderId="29" xfId="0" applyNumberFormat="1" applyFont="1" applyFill="1" applyBorder="1"/>
    <xf numFmtId="3" fontId="16" fillId="33" borderId="15" xfId="0" applyNumberFormat="1" applyFont="1" applyFill="1" applyBorder="1"/>
    <xf numFmtId="3" fontId="16" fillId="33" borderId="16" xfId="0" applyNumberFormat="1" applyFont="1" applyFill="1" applyBorder="1"/>
    <xf numFmtId="0" fontId="16" fillId="30" borderId="33" xfId="0" applyFont="1" applyFill="1" applyBorder="1" applyAlignment="1" applyProtection="1">
      <alignment horizontal="center" vertical="center" wrapText="1"/>
      <protection/>
    </xf>
    <xf numFmtId="2" fontId="0" fillId="34" borderId="28" xfId="0" applyNumberFormat="1" applyFill="1" applyBorder="1" applyProtection="1">
      <protection locked="0"/>
    </xf>
    <xf numFmtId="0" fontId="0" fillId="34" borderId="34" xfId="0" applyFill="1" applyBorder="1" applyProtection="1">
      <protection locked="0"/>
    </xf>
    <xf numFmtId="0" fontId="0" fillId="34" borderId="35" xfId="0" applyFont="1" applyFill="1" applyBorder="1" applyAlignment="1" applyProtection="1">
      <alignment vertical="center"/>
      <protection locked="0"/>
    </xf>
    <xf numFmtId="2" fontId="24" fillId="34" borderId="22" xfId="0" applyNumberFormat="1" applyFont="1" applyFill="1" applyBorder="1" applyProtection="1">
      <protection locked="0"/>
    </xf>
    <xf numFmtId="0" fontId="0" fillId="34" borderId="36" xfId="0" applyFont="1" applyFill="1" applyBorder="1" applyAlignment="1" applyProtection="1">
      <alignment vertical="center"/>
      <protection locked="0"/>
    </xf>
    <xf numFmtId="2" fontId="24" fillId="34" borderId="17" xfId="0" applyNumberFormat="1" applyFont="1" applyFill="1" applyBorder="1" applyProtection="1">
      <protection locked="0"/>
    </xf>
    <xf numFmtId="3" fontId="21" fillId="33" borderId="16" xfId="0" applyNumberFormat="1" applyFont="1" applyFill="1" applyBorder="1"/>
    <xf numFmtId="0" fontId="25" fillId="0" borderId="0" xfId="0" applyFont="1" applyProtection="1">
      <protection/>
    </xf>
    <xf numFmtId="3" fontId="16" fillId="33" borderId="30" xfId="0" applyNumberFormat="1" applyFont="1" applyFill="1" applyBorder="1"/>
    <xf numFmtId="0" fontId="0" fillId="0" borderId="37" xfId="0" applyBorder="1"/>
    <xf numFmtId="3" fontId="0" fillId="0" borderId="0" xfId="0" applyNumberFormat="1" applyProtection="1">
      <protection/>
    </xf>
    <xf numFmtId="3" fontId="0" fillId="0" borderId="0" xfId="0" applyNumberFormat="1"/>
    <xf numFmtId="0" fontId="0" fillId="0" borderId="11" xfId="0" applyFill="1" applyBorder="1"/>
    <xf numFmtId="0" fontId="0" fillId="0" borderId="12" xfId="0" applyFill="1" applyBorder="1"/>
    <xf numFmtId="2" fontId="0" fillId="0" borderId="17" xfId="0" applyNumberFormat="1" applyFill="1" applyBorder="1"/>
    <xf numFmtId="3" fontId="0" fillId="0" borderId="17" xfId="0" applyNumberFormat="1" applyFill="1" applyBorder="1"/>
    <xf numFmtId="3" fontId="0" fillId="0" borderId="12" xfId="0" applyNumberFormat="1" applyFill="1" applyBorder="1"/>
    <xf numFmtId="0" fontId="0" fillId="0" borderId="26" xfId="0" applyFill="1" applyBorder="1"/>
    <xf numFmtId="0" fontId="0" fillId="0" borderId="27" xfId="0" applyFill="1" applyBorder="1"/>
    <xf numFmtId="2" fontId="0" fillId="0" borderId="28" xfId="0" applyNumberFormat="1" applyFill="1" applyBorder="1"/>
    <xf numFmtId="3" fontId="0" fillId="0" borderId="28" xfId="0" applyNumberFormat="1" applyFill="1" applyBorder="1"/>
    <xf numFmtId="3" fontId="0" fillId="0" borderId="27" xfId="0" applyNumberFormat="1" applyFill="1" applyBorder="1"/>
    <xf numFmtId="0" fontId="0" fillId="0" borderId="10" xfId="0" applyFill="1" applyBorder="1"/>
    <xf numFmtId="0" fontId="0" fillId="0" borderId="38" xfId="0" applyFill="1" applyBorder="1"/>
    <xf numFmtId="2" fontId="0" fillId="0" borderId="22" xfId="0" applyNumberFormat="1" applyFill="1" applyBorder="1"/>
    <xf numFmtId="3" fontId="0" fillId="0" borderId="22" xfId="0" applyNumberFormat="1" applyFill="1" applyBorder="1"/>
    <xf numFmtId="3" fontId="0" fillId="0" borderId="23" xfId="0" applyNumberFormat="1" applyFill="1" applyBorder="1"/>
    <xf numFmtId="0" fontId="0" fillId="0" borderId="11" xfId="0" applyFill="1" applyBorder="1" applyProtection="1">
      <protection/>
    </xf>
    <xf numFmtId="0" fontId="0" fillId="0" borderId="12" xfId="0" applyFill="1" applyBorder="1" applyProtection="1">
      <protection/>
    </xf>
    <xf numFmtId="2" fontId="0" fillId="0" borderId="17" xfId="0" applyNumberFormat="1" applyFill="1" applyBorder="1" applyProtection="1">
      <protection/>
    </xf>
    <xf numFmtId="3" fontId="0" fillId="0" borderId="17" xfId="0" applyNumberFormat="1" applyFill="1" applyBorder="1" applyProtection="1">
      <protection/>
    </xf>
    <xf numFmtId="3" fontId="0" fillId="0" borderId="12" xfId="0" applyNumberFormat="1" applyFill="1" applyBorder="1" applyProtection="1">
      <protection/>
    </xf>
    <xf numFmtId="0" fontId="0" fillId="34" borderId="39" xfId="0" applyFill="1" applyBorder="1" applyProtection="1">
      <protection locked="0"/>
    </xf>
    <xf numFmtId="2" fontId="0" fillId="34" borderId="18" xfId="0" applyNumberFormat="1" applyFill="1" applyBorder="1" applyProtection="1">
      <protection locked="0"/>
    </xf>
    <xf numFmtId="2" fontId="0" fillId="34" borderId="40" xfId="0" applyNumberFormat="1" applyFill="1" applyBorder="1" applyProtection="1">
      <protection locked="0"/>
    </xf>
    <xf numFmtId="0" fontId="0" fillId="34" borderId="41" xfId="0" applyFill="1" applyBorder="1" applyProtection="1">
      <protection locked="0"/>
    </xf>
    <xf numFmtId="2" fontId="0" fillId="34" borderId="17" xfId="0" applyNumberFormat="1" applyFill="1" applyBorder="1" applyProtection="1">
      <protection locked="0"/>
    </xf>
    <xf numFmtId="2" fontId="0" fillId="34" borderId="36" xfId="0" applyNumberFormat="1" applyFill="1" applyBorder="1" applyProtection="1">
      <protection locked="0"/>
    </xf>
    <xf numFmtId="2" fontId="0" fillId="34" borderId="42" xfId="0" applyNumberFormat="1" applyFill="1" applyBorder="1" applyProtection="1">
      <protection locked="0"/>
    </xf>
    <xf numFmtId="0" fontId="0" fillId="34" borderId="43" xfId="0" applyFill="1" applyBorder="1" applyProtection="1">
      <protection locked="0"/>
    </xf>
    <xf numFmtId="2" fontId="0" fillId="34" borderId="22" xfId="0" applyNumberFormat="1" applyFill="1" applyBorder="1" applyProtection="1">
      <protection locked="0"/>
    </xf>
    <xf numFmtId="165" fontId="0" fillId="0" borderId="18" xfId="0" applyNumberFormat="1" applyBorder="1" applyAlignment="1">
      <alignment horizontal="center"/>
    </xf>
    <xf numFmtId="166" fontId="0" fillId="0" borderId="17" xfId="0" applyNumberFormat="1" applyBorder="1" applyAlignment="1" applyProtection="1">
      <alignment horizontal="center" vertical="center"/>
      <protection/>
    </xf>
    <xf numFmtId="166" fontId="0" fillId="0" borderId="18" xfId="0" applyNumberFormat="1" applyBorder="1" applyAlignment="1" applyProtection="1">
      <alignment horizontal="center" vertical="center"/>
      <protection/>
    </xf>
    <xf numFmtId="165" fontId="0" fillId="0" borderId="17" xfId="0" applyNumberFormat="1" applyBorder="1" applyAlignment="1">
      <alignment horizontal="center"/>
    </xf>
    <xf numFmtId="164" fontId="0" fillId="0" borderId="28" xfId="0" applyNumberFormat="1" applyBorder="1" applyAlignment="1" applyProtection="1">
      <alignment horizontal="center"/>
      <protection/>
    </xf>
    <xf numFmtId="165" fontId="0" fillId="0" borderId="17" xfId="0" applyNumberFormat="1" applyFill="1" applyBorder="1" applyAlignment="1">
      <alignment horizontal="center"/>
    </xf>
    <xf numFmtId="166" fontId="0" fillId="0" borderId="17" xfId="0" applyNumberFormat="1" applyFill="1" applyBorder="1" applyAlignment="1" applyProtection="1">
      <alignment horizontal="center" vertical="center"/>
      <protection/>
    </xf>
    <xf numFmtId="166" fontId="0" fillId="0" borderId="28" xfId="0" applyNumberFormat="1" applyFill="1" applyBorder="1" applyAlignment="1" applyProtection="1">
      <alignment horizontal="center" vertical="center"/>
      <protection/>
    </xf>
    <xf numFmtId="164" fontId="0" fillId="0" borderId="17" xfId="0" applyNumberFormat="1" applyFill="1" applyBorder="1" applyAlignment="1" applyProtection="1">
      <alignment horizontal="center"/>
      <protection/>
    </xf>
    <xf numFmtId="164" fontId="0" fillId="0" borderId="17" xfId="0" applyNumberFormat="1" applyBorder="1" applyAlignment="1" applyProtection="1">
      <alignment horizontal="center"/>
      <protection/>
    </xf>
    <xf numFmtId="164" fontId="0" fillId="0" borderId="18" xfId="0" applyNumberFormat="1" applyBorder="1" applyAlignment="1" applyProtection="1">
      <alignment horizontal="center"/>
      <protection/>
    </xf>
    <xf numFmtId="0" fontId="0" fillId="0" borderId="0" xfId="0"/>
    <xf numFmtId="165" fontId="24" fillId="0" borderId="22" xfId="0" applyNumberFormat="1" applyFont="1" applyBorder="1" applyAlignment="1">
      <alignment horizontal="center"/>
    </xf>
    <xf numFmtId="3" fontId="16" fillId="30" borderId="29" xfId="0" applyNumberFormat="1" applyFont="1" applyFill="1" applyBorder="1"/>
    <xf numFmtId="0" fontId="0" fillId="0" borderId="44" xfId="0" applyFill="1" applyBorder="1"/>
    <xf numFmtId="0" fontId="0" fillId="34" borderId="45" xfId="0" applyFill="1" applyBorder="1" applyProtection="1">
      <protection locked="0"/>
    </xf>
    <xf numFmtId="2" fontId="0" fillId="34" borderId="46" xfId="0" applyNumberFormat="1" applyFill="1" applyBorder="1" applyProtection="1">
      <protection locked="0"/>
    </xf>
    <xf numFmtId="2" fontId="0" fillId="0" borderId="46" xfId="0" applyNumberFormat="1" applyFill="1" applyBorder="1"/>
    <xf numFmtId="165" fontId="0" fillId="0" borderId="46" xfId="0" applyNumberFormat="1" applyFill="1" applyBorder="1" applyAlignment="1">
      <alignment horizontal="center"/>
    </xf>
    <xf numFmtId="3" fontId="0" fillId="0" borderId="46" xfId="0" applyNumberFormat="1" applyFill="1" applyBorder="1"/>
    <xf numFmtId="3" fontId="0" fillId="0" borderId="47" xfId="0" applyNumberFormat="1" applyFill="1" applyBorder="1"/>
    <xf numFmtId="0" fontId="19" fillId="0" borderId="0" xfId="0" applyFont="1" applyAlignment="1" applyProtection="1">
      <alignment horizontal="center" vertical="center"/>
      <protection/>
    </xf>
    <xf numFmtId="0" fontId="16" fillId="0" borderId="29" xfId="0" applyFont="1" applyFill="1" applyBorder="1" applyAlignment="1" applyProtection="1">
      <alignment horizontal="center" vertical="center"/>
      <protection/>
    </xf>
    <xf numFmtId="0" fontId="16" fillId="0" borderId="48" xfId="0" applyFont="1" applyFill="1" applyBorder="1" applyAlignment="1" applyProtection="1">
      <alignment horizontal="center" vertical="center"/>
      <protection/>
    </xf>
    <xf numFmtId="0" fontId="16" fillId="0" borderId="31" xfId="0" applyFont="1" applyFill="1" applyBorder="1" applyAlignment="1" applyProtection="1">
      <alignment horizontal="center" vertical="center"/>
      <protection/>
    </xf>
    <xf numFmtId="0" fontId="16" fillId="30" borderId="15" xfId="0" applyFont="1" applyFill="1" applyBorder="1" applyAlignment="1" applyProtection="1">
      <alignment horizontal="center" vertical="center"/>
      <protection/>
    </xf>
    <xf numFmtId="0" fontId="16" fillId="30" borderId="33" xfId="0" applyFont="1" applyFill="1" applyBorder="1" applyAlignment="1" applyProtection="1">
      <alignment horizontal="center" vertical="center"/>
      <protection/>
    </xf>
    <xf numFmtId="0" fontId="16" fillId="30" borderId="32" xfId="0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33" xfId="0" applyFont="1" applyFill="1" applyBorder="1" applyAlignment="1">
      <alignment horizontal="center"/>
    </xf>
    <xf numFmtId="0" fontId="16" fillId="0" borderId="32" xfId="0" applyFont="1" applyFill="1" applyBorder="1" applyAlignment="1">
      <alignment horizontal="center"/>
    </xf>
    <xf numFmtId="0" fontId="16" fillId="30" borderId="29" xfId="0" applyFont="1" applyFill="1" applyBorder="1" applyAlignment="1">
      <alignment horizontal="center"/>
    </xf>
    <xf numFmtId="0" fontId="16" fillId="30" borderId="48" xfId="0" applyFont="1" applyFill="1" applyBorder="1" applyAlignment="1">
      <alignment horizontal="center"/>
    </xf>
    <xf numFmtId="0" fontId="16" fillId="30" borderId="31" xfId="0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30" borderId="15" xfId="0" applyFont="1" applyFill="1" applyBorder="1" applyAlignment="1">
      <alignment horizontal="center" vertical="center"/>
    </xf>
    <xf numFmtId="0" fontId="16" fillId="30" borderId="33" xfId="0" applyFont="1" applyFill="1" applyBorder="1" applyAlignment="1">
      <alignment horizontal="center" vertical="center"/>
    </xf>
    <xf numFmtId="0" fontId="16" fillId="30" borderId="32" xfId="0" applyFont="1" applyFill="1" applyBorder="1" applyAlignment="1">
      <alignment horizontal="center" vertical="center"/>
    </xf>
    <xf numFmtId="0" fontId="16" fillId="30" borderId="15" xfId="0" applyFont="1" applyFill="1" applyBorder="1" applyAlignment="1">
      <alignment horizontal="center"/>
    </xf>
    <xf numFmtId="0" fontId="16" fillId="30" borderId="33" xfId="0" applyFont="1" applyFill="1" applyBorder="1" applyAlignment="1">
      <alignment horizontal="center"/>
    </xf>
    <xf numFmtId="0" fontId="16" fillId="30" borderId="32" xfId="0" applyFont="1" applyFill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3" fillId="30" borderId="15" xfId="0" applyFont="1" applyFill="1" applyBorder="1" applyAlignment="1">
      <alignment horizontal="center" vertical="center"/>
    </xf>
    <xf numFmtId="0" fontId="23" fillId="30" borderId="33" xfId="0" applyFont="1" applyFill="1" applyBorder="1" applyAlignment="1">
      <alignment horizontal="center" vertical="center"/>
    </xf>
    <xf numFmtId="0" fontId="23" fillId="30" borderId="32" xfId="0" applyFont="1" applyFill="1" applyBorder="1" applyAlignment="1">
      <alignment horizontal="center" vertical="center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 1" xfId="38"/>
    <cellStyle name="40 % – Zvýraznění 1" xfId="39"/>
    <cellStyle name="60 % – Zvýraznění 1" xfId="40"/>
    <cellStyle name="Zvýraznění 2" xfId="41"/>
    <cellStyle name="20 % – Zvýraznění 2" xfId="42"/>
    <cellStyle name="40 % – Zvýraznění 2" xfId="43"/>
    <cellStyle name="60 % – Zvýraznění 2" xfId="44"/>
    <cellStyle name="Zvýraznění 3" xfId="45"/>
    <cellStyle name="20 % – Zvýraznění 3" xfId="46"/>
    <cellStyle name="40 % – Zvýraznění 3" xfId="47"/>
    <cellStyle name="60 % – Zvýraznění 3" xfId="48"/>
    <cellStyle name="Zvýraznění 4" xfId="49"/>
    <cellStyle name="20 % – Zvýraznění 4" xfId="50"/>
    <cellStyle name="40 % – Zvýraznění 4" xfId="51"/>
    <cellStyle name="60 % – Zvýraznění 4" xfId="52"/>
    <cellStyle name="Zvýraznění 5" xfId="53"/>
    <cellStyle name="20 % – Zvýraznění 5" xfId="54"/>
    <cellStyle name="40 % – Zvýraznění 5" xfId="55"/>
    <cellStyle name="60 % – Zvýraznění 5" xfId="56"/>
    <cellStyle name="Zvýraznění 6" xfId="57"/>
    <cellStyle name="20 % – Zvýraznění 6" xfId="58"/>
    <cellStyle name="40 % – Zvýraznění 6" xfId="59"/>
    <cellStyle name="60 % – Zvýraznění 6" xfId="60"/>
    <cellStyle name="Název 2" xfId="61"/>
    <cellStyle name="Neutrální 2" xfId="62"/>
    <cellStyle name="60 % – Zvýraznění 1 2" xfId="63"/>
    <cellStyle name="60 % – Zvýraznění 2 2" xfId="64"/>
    <cellStyle name="60 % – Zvýraznění 3 2" xfId="65"/>
    <cellStyle name="60 % – Zvýraznění 4 2" xfId="66"/>
    <cellStyle name="60 % – Zvýraznění 5 2" xfId="67"/>
    <cellStyle name="60 % – Zvýraznění 6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8"/>
  <sheetViews>
    <sheetView showGridLines="0" tabSelected="1" zoomScale="90" zoomScaleNormal="90" workbookViewId="0" topLeftCell="A1">
      <pane xSplit="1" ySplit="4" topLeftCell="B44" activePane="bottomRight" state="frozen"/>
      <selection pane="topRight" activeCell="B1" sqref="B1"/>
      <selection pane="bottomLeft" activeCell="A5" sqref="A5"/>
      <selection pane="bottomRight" activeCell="R45" sqref="R45"/>
    </sheetView>
  </sheetViews>
  <sheetFormatPr defaultColWidth="9.140625" defaultRowHeight="15"/>
  <cols>
    <col min="1" max="1" width="31.8515625" style="30" customWidth="1"/>
    <col min="2" max="2" width="27.421875" style="30" customWidth="1"/>
    <col min="3" max="3" width="17.8515625" style="30" customWidth="1"/>
    <col min="4" max="4" width="12.28125" style="30" customWidth="1"/>
    <col min="5" max="5" width="10.140625" style="30" customWidth="1"/>
    <col min="6" max="6" width="9.28125" style="30" customWidth="1"/>
    <col min="7" max="7" width="11.8515625" style="30" customWidth="1"/>
    <col min="8" max="8" width="9.7109375" style="30" customWidth="1"/>
    <col min="9" max="9" width="11.421875" style="30" customWidth="1"/>
    <col min="10" max="11" width="11.140625" style="30" customWidth="1"/>
    <col min="12" max="12" width="11.421875" style="30" customWidth="1"/>
    <col min="13" max="13" width="9.421875" style="30" customWidth="1"/>
    <col min="14" max="14" width="10.28125" style="30" customWidth="1"/>
    <col min="15" max="16384" width="9.140625" style="30" customWidth="1"/>
  </cols>
  <sheetData>
    <row r="1" ht="15.75">
      <c r="A1" s="72" t="s">
        <v>32</v>
      </c>
    </row>
    <row r="2" spans="1:14" ht="57.75" customHeight="1">
      <c r="A2" s="127" t="s">
        <v>29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spans="1:14" ht="27.75" customHeight="1" thickBot="1">
      <c r="A3" s="31" t="s">
        <v>39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102" customHeight="1" thickBot="1">
      <c r="A4" s="32" t="s">
        <v>0</v>
      </c>
      <c r="B4" s="33" t="s">
        <v>1</v>
      </c>
      <c r="C4" s="64" t="s">
        <v>31</v>
      </c>
      <c r="D4" s="35" t="s">
        <v>4</v>
      </c>
      <c r="E4" s="34" t="s">
        <v>34</v>
      </c>
      <c r="F4" s="34" t="s">
        <v>27</v>
      </c>
      <c r="G4" s="35" t="s">
        <v>18</v>
      </c>
      <c r="H4" s="35" t="s">
        <v>22</v>
      </c>
      <c r="I4" s="35" t="s">
        <v>5</v>
      </c>
      <c r="J4" s="35" t="s">
        <v>26</v>
      </c>
      <c r="K4" s="35" t="s">
        <v>35</v>
      </c>
      <c r="L4" s="35" t="s">
        <v>36</v>
      </c>
      <c r="M4" s="35" t="s">
        <v>19</v>
      </c>
      <c r="N4" s="36" t="s">
        <v>15</v>
      </c>
    </row>
    <row r="5" spans="1:14" ht="14.45" customHeight="1">
      <c r="A5" s="37" t="str">
        <f>"prostěradlo"</f>
        <v>prostěradlo</v>
      </c>
      <c r="B5" s="38"/>
      <c r="C5" s="97"/>
      <c r="D5" s="98"/>
      <c r="E5" s="99"/>
      <c r="F5" s="99"/>
      <c r="G5" s="39">
        <f aca="true" t="shared" si="0" ref="G5:G50">D5*0.21</f>
        <v>0</v>
      </c>
      <c r="H5" s="39">
        <f aca="true" t="shared" si="1" ref="H5:H50">ROUND(D5+G5,2)</f>
        <v>0</v>
      </c>
      <c r="I5" s="116">
        <v>76223</v>
      </c>
      <c r="J5" s="40">
        <f aca="true" t="shared" si="2" ref="J5:J50">D5*I5</f>
        <v>0</v>
      </c>
      <c r="K5" s="40">
        <f aca="true" t="shared" si="3" ref="K5:K50">+I5*E5</f>
        <v>0</v>
      </c>
      <c r="L5" s="40">
        <f aca="true" t="shared" si="4" ref="L5:L50">+I5*F5</f>
        <v>0</v>
      </c>
      <c r="M5" s="40">
        <f aca="true" t="shared" si="5" ref="M5:M50">J5*0.21</f>
        <v>0</v>
      </c>
      <c r="N5" s="41">
        <f aca="true" t="shared" si="6" ref="N5:N50">ROUND(J5+M5,2)</f>
        <v>0</v>
      </c>
    </row>
    <row r="6" spans="1:14" ht="15">
      <c r="A6" s="42" t="str">
        <f>"prostěradlo napínací"</f>
        <v>prostěradlo napínací</v>
      </c>
      <c r="B6" s="43"/>
      <c r="C6" s="100"/>
      <c r="D6" s="101"/>
      <c r="E6" s="102"/>
      <c r="F6" s="102"/>
      <c r="G6" s="44">
        <f t="shared" si="0"/>
        <v>0</v>
      </c>
      <c r="H6" s="44">
        <f t="shared" si="1"/>
        <v>0</v>
      </c>
      <c r="I6" s="115">
        <v>398</v>
      </c>
      <c r="J6" s="45">
        <f t="shared" si="2"/>
        <v>0</v>
      </c>
      <c r="K6" s="45">
        <f t="shared" si="3"/>
        <v>0</v>
      </c>
      <c r="L6" s="45">
        <f t="shared" si="4"/>
        <v>0</v>
      </c>
      <c r="M6" s="45">
        <f t="shared" si="5"/>
        <v>0</v>
      </c>
      <c r="N6" s="46">
        <f t="shared" si="6"/>
        <v>0</v>
      </c>
    </row>
    <row r="7" spans="1:14" ht="15">
      <c r="A7" s="42" t="str">
        <f>"povlak polštáře"</f>
        <v>povlak polštáře</v>
      </c>
      <c r="B7" s="43"/>
      <c r="C7" s="100"/>
      <c r="D7" s="101"/>
      <c r="E7" s="102"/>
      <c r="F7" s="102"/>
      <c r="G7" s="44">
        <f t="shared" si="0"/>
        <v>0</v>
      </c>
      <c r="H7" s="44">
        <f t="shared" si="1"/>
        <v>0</v>
      </c>
      <c r="I7" s="115">
        <v>74699</v>
      </c>
      <c r="J7" s="45">
        <f t="shared" si="2"/>
        <v>0</v>
      </c>
      <c r="K7" s="45">
        <f t="shared" si="3"/>
        <v>0</v>
      </c>
      <c r="L7" s="45">
        <f t="shared" si="4"/>
        <v>0</v>
      </c>
      <c r="M7" s="45">
        <f t="shared" si="5"/>
        <v>0</v>
      </c>
      <c r="N7" s="46">
        <f t="shared" si="6"/>
        <v>0</v>
      </c>
    </row>
    <row r="8" spans="1:14" ht="15">
      <c r="A8" s="42" t="str">
        <f>"povlak polštáře malý"</f>
        <v>povlak polštáře malý</v>
      </c>
      <c r="B8" s="43"/>
      <c r="C8" s="100"/>
      <c r="D8" s="101"/>
      <c r="E8" s="102"/>
      <c r="F8" s="102"/>
      <c r="G8" s="44">
        <f t="shared" si="0"/>
        <v>0</v>
      </c>
      <c r="H8" s="44">
        <f t="shared" si="1"/>
        <v>0</v>
      </c>
      <c r="I8" s="115">
        <v>3110</v>
      </c>
      <c r="J8" s="45">
        <f t="shared" si="2"/>
        <v>0</v>
      </c>
      <c r="K8" s="45">
        <f t="shared" si="3"/>
        <v>0</v>
      </c>
      <c r="L8" s="45">
        <f t="shared" si="4"/>
        <v>0</v>
      </c>
      <c r="M8" s="45">
        <f t="shared" si="5"/>
        <v>0</v>
      </c>
      <c r="N8" s="46">
        <f t="shared" si="6"/>
        <v>0</v>
      </c>
    </row>
    <row r="9" spans="1:14" ht="15">
      <c r="A9" s="42" t="str">
        <f>"povlak polštáře barevný"</f>
        <v>povlak polštáře barevný</v>
      </c>
      <c r="B9" s="43"/>
      <c r="C9" s="100"/>
      <c r="D9" s="101"/>
      <c r="E9" s="102"/>
      <c r="F9" s="102"/>
      <c r="G9" s="44">
        <f t="shared" si="0"/>
        <v>0</v>
      </c>
      <c r="H9" s="44">
        <f t="shared" si="1"/>
        <v>0</v>
      </c>
      <c r="I9" s="115">
        <v>325</v>
      </c>
      <c r="J9" s="45">
        <f t="shared" si="2"/>
        <v>0</v>
      </c>
      <c r="K9" s="45">
        <f t="shared" si="3"/>
        <v>0</v>
      </c>
      <c r="L9" s="45">
        <f t="shared" si="4"/>
        <v>0</v>
      </c>
      <c r="M9" s="45">
        <f t="shared" si="5"/>
        <v>0</v>
      </c>
      <c r="N9" s="46">
        <f t="shared" si="6"/>
        <v>0</v>
      </c>
    </row>
    <row r="10" spans="1:14" ht="15">
      <c r="A10" s="42" t="str">
        <f>"povlak přikrývky"</f>
        <v>povlak přikrývky</v>
      </c>
      <c r="B10" s="43"/>
      <c r="C10" s="100"/>
      <c r="D10" s="101"/>
      <c r="E10" s="102"/>
      <c r="F10" s="102"/>
      <c r="G10" s="44">
        <f t="shared" si="0"/>
        <v>0</v>
      </c>
      <c r="H10" s="44">
        <f t="shared" si="1"/>
        <v>0</v>
      </c>
      <c r="I10" s="115">
        <v>78746</v>
      </c>
      <c r="J10" s="45">
        <f t="shared" si="2"/>
        <v>0</v>
      </c>
      <c r="K10" s="45">
        <f t="shared" si="3"/>
        <v>0</v>
      </c>
      <c r="L10" s="45">
        <f t="shared" si="4"/>
        <v>0</v>
      </c>
      <c r="M10" s="45">
        <f t="shared" si="5"/>
        <v>0</v>
      </c>
      <c r="N10" s="46">
        <f t="shared" si="6"/>
        <v>0</v>
      </c>
    </row>
    <row r="11" spans="1:14" ht="15">
      <c r="A11" s="42" t="str">
        <f>"povlak přikrývky malý"</f>
        <v>povlak přikrývky malý</v>
      </c>
      <c r="B11" s="43"/>
      <c r="C11" s="100"/>
      <c r="D11" s="101"/>
      <c r="E11" s="102"/>
      <c r="F11" s="102"/>
      <c r="G11" s="44">
        <f t="shared" si="0"/>
        <v>0</v>
      </c>
      <c r="H11" s="44">
        <f t="shared" si="1"/>
        <v>0</v>
      </c>
      <c r="I11" s="115">
        <v>637</v>
      </c>
      <c r="J11" s="45">
        <f t="shared" si="2"/>
        <v>0</v>
      </c>
      <c r="K11" s="45">
        <f t="shared" si="3"/>
        <v>0</v>
      </c>
      <c r="L11" s="45">
        <f t="shared" si="4"/>
        <v>0</v>
      </c>
      <c r="M11" s="45">
        <f t="shared" si="5"/>
        <v>0</v>
      </c>
      <c r="N11" s="46">
        <f t="shared" si="6"/>
        <v>0</v>
      </c>
    </row>
    <row r="12" spans="1:14" ht="15">
      <c r="A12" s="42" t="str">
        <f>"povlak přikrývky barevný"</f>
        <v>povlak přikrývky barevný</v>
      </c>
      <c r="B12" s="43"/>
      <c r="C12" s="100"/>
      <c r="D12" s="101"/>
      <c r="E12" s="102"/>
      <c r="F12" s="102"/>
      <c r="G12" s="44">
        <f t="shared" si="0"/>
        <v>0</v>
      </c>
      <c r="H12" s="44">
        <f t="shared" si="1"/>
        <v>0</v>
      </c>
      <c r="I12" s="115">
        <v>323</v>
      </c>
      <c r="J12" s="45">
        <f t="shared" si="2"/>
        <v>0</v>
      </c>
      <c r="K12" s="45">
        <f t="shared" si="3"/>
        <v>0</v>
      </c>
      <c r="L12" s="45">
        <f t="shared" si="4"/>
        <v>0</v>
      </c>
      <c r="M12" s="45">
        <f t="shared" si="5"/>
        <v>0</v>
      </c>
      <c r="N12" s="46">
        <f t="shared" si="6"/>
        <v>0</v>
      </c>
    </row>
    <row r="13" spans="1:14" ht="15">
      <c r="A13" s="42" t="str">
        <f>"podložka"</f>
        <v>podložka</v>
      </c>
      <c r="B13" s="43"/>
      <c r="C13" s="100"/>
      <c r="D13" s="101"/>
      <c r="E13" s="102"/>
      <c r="F13" s="102"/>
      <c r="G13" s="44">
        <f t="shared" si="0"/>
        <v>0</v>
      </c>
      <c r="H13" s="44">
        <f t="shared" si="1"/>
        <v>0</v>
      </c>
      <c r="I13" s="115">
        <v>84129</v>
      </c>
      <c r="J13" s="45">
        <f t="shared" si="2"/>
        <v>0</v>
      </c>
      <c r="K13" s="45">
        <f t="shared" si="3"/>
        <v>0</v>
      </c>
      <c r="L13" s="45">
        <f t="shared" si="4"/>
        <v>0</v>
      </c>
      <c r="M13" s="45">
        <f t="shared" si="5"/>
        <v>0</v>
      </c>
      <c r="N13" s="46">
        <f t="shared" si="6"/>
        <v>0</v>
      </c>
    </row>
    <row r="14" spans="1:14" ht="15">
      <c r="A14" s="42" t="str">
        <f>"rouška malá 90x90"</f>
        <v>rouška malá 90x90</v>
      </c>
      <c r="B14" s="43"/>
      <c r="C14" s="100"/>
      <c r="D14" s="101"/>
      <c r="E14" s="102"/>
      <c r="F14" s="102"/>
      <c r="G14" s="44">
        <f t="shared" si="0"/>
        <v>0</v>
      </c>
      <c r="H14" s="44">
        <f t="shared" si="1"/>
        <v>0</v>
      </c>
      <c r="I14" s="115">
        <v>47321</v>
      </c>
      <c r="J14" s="45">
        <f t="shared" si="2"/>
        <v>0</v>
      </c>
      <c r="K14" s="45">
        <f t="shared" si="3"/>
        <v>0</v>
      </c>
      <c r="L14" s="45">
        <f t="shared" si="4"/>
        <v>0</v>
      </c>
      <c r="M14" s="45">
        <f t="shared" si="5"/>
        <v>0</v>
      </c>
      <c r="N14" s="46">
        <f t="shared" si="6"/>
        <v>0</v>
      </c>
    </row>
    <row r="15" spans="1:14" ht="15">
      <c r="A15" s="42" t="str">
        <f>"rouška malá 90x90 perf."</f>
        <v>rouška malá 90x90 perf.</v>
      </c>
      <c r="B15" s="43"/>
      <c r="C15" s="100"/>
      <c r="D15" s="101"/>
      <c r="E15" s="102"/>
      <c r="F15" s="102"/>
      <c r="G15" s="44">
        <f t="shared" si="0"/>
        <v>0</v>
      </c>
      <c r="H15" s="44">
        <f t="shared" si="1"/>
        <v>0</v>
      </c>
      <c r="I15" s="115">
        <v>254</v>
      </c>
      <c r="J15" s="45">
        <f t="shared" si="2"/>
        <v>0</v>
      </c>
      <c r="K15" s="45">
        <f t="shared" si="3"/>
        <v>0</v>
      </c>
      <c r="L15" s="45">
        <f t="shared" si="4"/>
        <v>0</v>
      </c>
      <c r="M15" s="45">
        <f t="shared" si="5"/>
        <v>0</v>
      </c>
      <c r="N15" s="46">
        <f t="shared" si="6"/>
        <v>0</v>
      </c>
    </row>
    <row r="16" spans="1:14" ht="15">
      <c r="A16" s="42" t="str">
        <f>"rouška střední 110x140"</f>
        <v>rouška střední 110x140</v>
      </c>
      <c r="B16" s="43"/>
      <c r="C16" s="100"/>
      <c r="D16" s="101"/>
      <c r="E16" s="102"/>
      <c r="F16" s="102"/>
      <c r="G16" s="44">
        <f t="shared" si="0"/>
        <v>0</v>
      </c>
      <c r="H16" s="44">
        <f t="shared" si="1"/>
        <v>0</v>
      </c>
      <c r="I16" s="115">
        <v>37860</v>
      </c>
      <c r="J16" s="45">
        <f t="shared" si="2"/>
        <v>0</v>
      </c>
      <c r="K16" s="45">
        <f t="shared" si="3"/>
        <v>0</v>
      </c>
      <c r="L16" s="45">
        <f t="shared" si="4"/>
        <v>0</v>
      </c>
      <c r="M16" s="45">
        <f t="shared" si="5"/>
        <v>0</v>
      </c>
      <c r="N16" s="46">
        <f t="shared" si="6"/>
        <v>0</v>
      </c>
    </row>
    <row r="17" spans="1:14" ht="15">
      <c r="A17" s="42" t="str">
        <f>"rouška velká 140x170"</f>
        <v>rouška velká 140x170</v>
      </c>
      <c r="B17" s="43"/>
      <c r="C17" s="100"/>
      <c r="D17" s="101"/>
      <c r="E17" s="102"/>
      <c r="F17" s="102"/>
      <c r="G17" s="44">
        <f t="shared" si="0"/>
        <v>0</v>
      </c>
      <c r="H17" s="44">
        <f t="shared" si="1"/>
        <v>0</v>
      </c>
      <c r="I17" s="115">
        <v>1922</v>
      </c>
      <c r="J17" s="45">
        <f t="shared" si="2"/>
        <v>0</v>
      </c>
      <c r="K17" s="45">
        <f t="shared" si="3"/>
        <v>0</v>
      </c>
      <c r="L17" s="45">
        <f t="shared" si="4"/>
        <v>0</v>
      </c>
      <c r="M17" s="45">
        <f t="shared" si="5"/>
        <v>0</v>
      </c>
      <c r="N17" s="46">
        <f t="shared" si="6"/>
        <v>0</v>
      </c>
    </row>
    <row r="18" spans="1:14" ht="15">
      <c r="A18" s="42" t="str">
        <f>"halena operační"</f>
        <v>halena operační</v>
      </c>
      <c r="B18" s="43" t="str">
        <f>"modrá "</f>
        <v xml:space="preserve">modrá </v>
      </c>
      <c r="C18" s="100"/>
      <c r="D18" s="101"/>
      <c r="E18" s="102"/>
      <c r="F18" s="102"/>
      <c r="G18" s="94">
        <f t="shared" si="0"/>
        <v>0</v>
      </c>
      <c r="H18" s="94">
        <f t="shared" si="1"/>
        <v>0</v>
      </c>
      <c r="I18" s="114">
        <v>26177</v>
      </c>
      <c r="J18" s="95">
        <f t="shared" si="2"/>
        <v>0</v>
      </c>
      <c r="K18" s="95">
        <f t="shared" si="3"/>
        <v>0</v>
      </c>
      <c r="L18" s="95">
        <f t="shared" si="4"/>
        <v>0</v>
      </c>
      <c r="M18" s="95">
        <f t="shared" si="5"/>
        <v>0</v>
      </c>
      <c r="N18" s="96">
        <f t="shared" si="6"/>
        <v>0</v>
      </c>
    </row>
    <row r="19" spans="1:14" ht="15">
      <c r="A19" s="77" t="s">
        <v>63</v>
      </c>
      <c r="B19" s="78"/>
      <c r="C19" s="100"/>
      <c r="D19" s="101"/>
      <c r="E19" s="102"/>
      <c r="F19" s="102"/>
      <c r="G19" s="94">
        <f aca="true" t="shared" si="7" ref="G19:G23">D19*0.21</f>
        <v>0</v>
      </c>
      <c r="H19" s="94">
        <f aca="true" t="shared" si="8" ref="H19:H23">ROUND(D19+G19,2)</f>
        <v>0</v>
      </c>
      <c r="I19" s="114">
        <v>1000</v>
      </c>
      <c r="J19" s="95">
        <f aca="true" t="shared" si="9" ref="J19:J23">D19*I19</f>
        <v>0</v>
      </c>
      <c r="K19" s="95">
        <f aca="true" t="shared" si="10" ref="K19:K23">+I19*E19</f>
        <v>0</v>
      </c>
      <c r="L19" s="95">
        <f aca="true" t="shared" si="11" ref="L19:L23">+I19*F19</f>
        <v>0</v>
      </c>
      <c r="M19" s="95">
        <f aca="true" t="shared" si="12" ref="M19:M23">J19*0.21</f>
        <v>0</v>
      </c>
      <c r="N19" s="96">
        <f aca="true" t="shared" si="13" ref="N19:N23">ROUND(J19+M19,2)</f>
        <v>0</v>
      </c>
    </row>
    <row r="20" spans="1:14" ht="15">
      <c r="A20" s="42" t="str">
        <f>"kalhoty operační"</f>
        <v>kalhoty operační</v>
      </c>
      <c r="B20" s="43" t="str">
        <f>"modré"</f>
        <v>modré</v>
      </c>
      <c r="C20" s="100"/>
      <c r="D20" s="101"/>
      <c r="E20" s="102"/>
      <c r="F20" s="102"/>
      <c r="G20" s="94">
        <f t="shared" si="7"/>
        <v>0</v>
      </c>
      <c r="H20" s="94">
        <f t="shared" si="8"/>
        <v>0</v>
      </c>
      <c r="I20" s="114">
        <v>25672</v>
      </c>
      <c r="J20" s="95">
        <f t="shared" si="9"/>
        <v>0</v>
      </c>
      <c r="K20" s="95">
        <f t="shared" si="10"/>
        <v>0</v>
      </c>
      <c r="L20" s="95">
        <f t="shared" si="11"/>
        <v>0</v>
      </c>
      <c r="M20" s="95">
        <f t="shared" si="12"/>
        <v>0</v>
      </c>
      <c r="N20" s="96">
        <f t="shared" si="13"/>
        <v>0</v>
      </c>
    </row>
    <row r="21" spans="1:14" ht="15">
      <c r="A21" s="77" t="s">
        <v>64</v>
      </c>
      <c r="B21" s="78"/>
      <c r="C21" s="100"/>
      <c r="D21" s="101"/>
      <c r="E21" s="102"/>
      <c r="F21" s="102"/>
      <c r="G21" s="94">
        <f t="shared" si="7"/>
        <v>0</v>
      </c>
      <c r="H21" s="94">
        <f t="shared" si="8"/>
        <v>0</v>
      </c>
      <c r="I21" s="114">
        <v>1000</v>
      </c>
      <c r="J21" s="95">
        <f t="shared" si="9"/>
        <v>0</v>
      </c>
      <c r="K21" s="95">
        <f t="shared" si="10"/>
        <v>0</v>
      </c>
      <c r="L21" s="95">
        <f t="shared" si="11"/>
        <v>0</v>
      </c>
      <c r="M21" s="95">
        <f t="shared" si="12"/>
        <v>0</v>
      </c>
      <c r="N21" s="96">
        <f t="shared" si="13"/>
        <v>0</v>
      </c>
    </row>
    <row r="22" spans="1:14" ht="15">
      <c r="A22" s="77" t="s">
        <v>65</v>
      </c>
      <c r="B22" s="78"/>
      <c r="C22" s="100"/>
      <c r="D22" s="101"/>
      <c r="E22" s="102"/>
      <c r="F22" s="102"/>
      <c r="G22" s="94">
        <f t="shared" si="7"/>
        <v>0</v>
      </c>
      <c r="H22" s="94">
        <f t="shared" si="8"/>
        <v>0</v>
      </c>
      <c r="I22" s="114">
        <v>1000</v>
      </c>
      <c r="J22" s="95">
        <f t="shared" si="9"/>
        <v>0</v>
      </c>
      <c r="K22" s="95">
        <f t="shared" si="10"/>
        <v>0</v>
      </c>
      <c r="L22" s="95">
        <f t="shared" si="11"/>
        <v>0</v>
      </c>
      <c r="M22" s="95">
        <f t="shared" si="12"/>
        <v>0</v>
      </c>
      <c r="N22" s="96">
        <f t="shared" si="13"/>
        <v>0</v>
      </c>
    </row>
    <row r="23" spans="1:14" ht="15">
      <c r="A23" s="42" t="str">
        <f>"pyžamový kabátek dětský"</f>
        <v>pyžamový kabátek dětský</v>
      </c>
      <c r="B23" s="43"/>
      <c r="C23" s="100"/>
      <c r="D23" s="101"/>
      <c r="E23" s="102"/>
      <c r="F23" s="102"/>
      <c r="G23" s="94">
        <f t="shared" si="7"/>
        <v>0</v>
      </c>
      <c r="H23" s="94">
        <f t="shared" si="8"/>
        <v>0</v>
      </c>
      <c r="I23" s="114">
        <v>33</v>
      </c>
      <c r="J23" s="95">
        <f t="shared" si="9"/>
        <v>0</v>
      </c>
      <c r="K23" s="95">
        <f t="shared" si="10"/>
        <v>0</v>
      </c>
      <c r="L23" s="95">
        <f t="shared" si="11"/>
        <v>0</v>
      </c>
      <c r="M23" s="95">
        <f t="shared" si="12"/>
        <v>0</v>
      </c>
      <c r="N23" s="96">
        <f t="shared" si="13"/>
        <v>0</v>
      </c>
    </row>
    <row r="24" spans="1:14" ht="15">
      <c r="A24" s="42" t="str">
        <f>"pyžamové kalhoty dětské"</f>
        <v>pyžamové kalhoty dětské</v>
      </c>
      <c r="B24" s="43"/>
      <c r="C24" s="100"/>
      <c r="D24" s="101"/>
      <c r="E24" s="102"/>
      <c r="F24" s="102"/>
      <c r="G24" s="44">
        <f t="shared" si="0"/>
        <v>0</v>
      </c>
      <c r="H24" s="44">
        <f t="shared" si="1"/>
        <v>0</v>
      </c>
      <c r="I24" s="115">
        <v>35</v>
      </c>
      <c r="J24" s="45">
        <f t="shared" si="2"/>
        <v>0</v>
      </c>
      <c r="K24" s="45">
        <f t="shared" si="3"/>
        <v>0</v>
      </c>
      <c r="L24" s="45">
        <f t="shared" si="4"/>
        <v>0</v>
      </c>
      <c r="M24" s="45">
        <f t="shared" si="5"/>
        <v>0</v>
      </c>
      <c r="N24" s="46">
        <f t="shared" si="6"/>
        <v>0</v>
      </c>
    </row>
    <row r="25" spans="1:14" ht="15">
      <c r="A25" s="42" t="str">
        <f>"plena"</f>
        <v>plena</v>
      </c>
      <c r="B25" s="43"/>
      <c r="C25" s="100"/>
      <c r="D25" s="101"/>
      <c r="E25" s="102"/>
      <c r="F25" s="102"/>
      <c r="G25" s="44">
        <f t="shared" si="0"/>
        <v>0</v>
      </c>
      <c r="H25" s="44">
        <f t="shared" si="1"/>
        <v>0</v>
      </c>
      <c r="I25" s="115">
        <v>2613</v>
      </c>
      <c r="J25" s="45">
        <f t="shared" si="2"/>
        <v>0</v>
      </c>
      <c r="K25" s="45">
        <f t="shared" si="3"/>
        <v>0</v>
      </c>
      <c r="L25" s="45">
        <f t="shared" si="4"/>
        <v>0</v>
      </c>
      <c r="M25" s="45">
        <f t="shared" si="5"/>
        <v>0</v>
      </c>
      <c r="N25" s="46">
        <f t="shared" si="6"/>
        <v>0</v>
      </c>
    </row>
    <row r="26" spans="1:14" ht="15">
      <c r="A26" s="42" t="str">
        <f>"plena tetra"</f>
        <v>plena tetra</v>
      </c>
      <c r="B26" s="43"/>
      <c r="C26" s="100"/>
      <c r="D26" s="101"/>
      <c r="E26" s="102"/>
      <c r="F26" s="102"/>
      <c r="G26" s="44">
        <f t="shared" si="0"/>
        <v>0</v>
      </c>
      <c r="H26" s="44">
        <f t="shared" si="1"/>
        <v>0</v>
      </c>
      <c r="I26" s="115">
        <v>4</v>
      </c>
      <c r="J26" s="45">
        <f t="shared" si="2"/>
        <v>0</v>
      </c>
      <c r="K26" s="45">
        <f t="shared" si="3"/>
        <v>0</v>
      </c>
      <c r="L26" s="45">
        <f t="shared" si="4"/>
        <v>0</v>
      </c>
      <c r="M26" s="45">
        <f t="shared" si="5"/>
        <v>0</v>
      </c>
      <c r="N26" s="46">
        <f t="shared" si="6"/>
        <v>0</v>
      </c>
    </row>
    <row r="27" spans="1:14" ht="15">
      <c r="A27" s="42" t="str">
        <f>"kabátek pyžamový"</f>
        <v>kabátek pyžamový</v>
      </c>
      <c r="B27" s="43"/>
      <c r="C27" s="100"/>
      <c r="D27" s="101"/>
      <c r="E27" s="102"/>
      <c r="F27" s="102"/>
      <c r="G27" s="44">
        <f t="shared" si="0"/>
        <v>0</v>
      </c>
      <c r="H27" s="44">
        <f t="shared" si="1"/>
        <v>0</v>
      </c>
      <c r="I27" s="115">
        <v>6115</v>
      </c>
      <c r="J27" s="45">
        <f t="shared" si="2"/>
        <v>0</v>
      </c>
      <c r="K27" s="45">
        <f t="shared" si="3"/>
        <v>0</v>
      </c>
      <c r="L27" s="45">
        <f t="shared" si="4"/>
        <v>0</v>
      </c>
      <c r="M27" s="45">
        <f t="shared" si="5"/>
        <v>0</v>
      </c>
      <c r="N27" s="46">
        <f t="shared" si="6"/>
        <v>0</v>
      </c>
    </row>
    <row r="28" spans="1:14" ht="15">
      <c r="A28" s="42" t="str">
        <f>"kabátek pyžamový"</f>
        <v>kabátek pyžamový</v>
      </c>
      <c r="B28" s="43" t="s">
        <v>40</v>
      </c>
      <c r="C28" s="100"/>
      <c r="D28" s="101"/>
      <c r="E28" s="102"/>
      <c r="F28" s="102"/>
      <c r="G28" s="44">
        <f t="shared" si="0"/>
        <v>0</v>
      </c>
      <c r="H28" s="44">
        <f t="shared" si="1"/>
        <v>0</v>
      </c>
      <c r="I28" s="115">
        <v>644</v>
      </c>
      <c r="J28" s="45">
        <f t="shared" si="2"/>
        <v>0</v>
      </c>
      <c r="K28" s="45">
        <f t="shared" si="3"/>
        <v>0</v>
      </c>
      <c r="L28" s="45">
        <f t="shared" si="4"/>
        <v>0</v>
      </c>
      <c r="M28" s="45">
        <f t="shared" si="5"/>
        <v>0</v>
      </c>
      <c r="N28" s="46">
        <f t="shared" si="6"/>
        <v>0</v>
      </c>
    </row>
    <row r="29" spans="1:14" ht="15">
      <c r="A29" s="42" t="str">
        <f>"kalhoty pyžamové"</f>
        <v>kalhoty pyžamové</v>
      </c>
      <c r="B29" s="43"/>
      <c r="C29" s="100"/>
      <c r="D29" s="101"/>
      <c r="E29" s="102"/>
      <c r="F29" s="102"/>
      <c r="G29" s="44">
        <f t="shared" si="0"/>
        <v>0</v>
      </c>
      <c r="H29" s="44">
        <f t="shared" si="1"/>
        <v>0</v>
      </c>
      <c r="I29" s="115">
        <v>5602</v>
      </c>
      <c r="J29" s="45">
        <f t="shared" si="2"/>
        <v>0</v>
      </c>
      <c r="K29" s="45">
        <f t="shared" si="3"/>
        <v>0</v>
      </c>
      <c r="L29" s="45">
        <f t="shared" si="4"/>
        <v>0</v>
      </c>
      <c r="M29" s="45">
        <f t="shared" si="5"/>
        <v>0</v>
      </c>
      <c r="N29" s="46">
        <f t="shared" si="6"/>
        <v>0</v>
      </c>
    </row>
    <row r="30" spans="1:14" ht="15">
      <c r="A30" s="42" t="str">
        <f>"kalhoty pyžamové"</f>
        <v>kalhoty pyžamové</v>
      </c>
      <c r="B30" s="43" t="s">
        <v>41</v>
      </c>
      <c r="C30" s="100"/>
      <c r="D30" s="101"/>
      <c r="E30" s="102"/>
      <c r="F30" s="102"/>
      <c r="G30" s="44">
        <f t="shared" si="0"/>
        <v>0</v>
      </c>
      <c r="H30" s="44">
        <f t="shared" si="1"/>
        <v>0</v>
      </c>
      <c r="I30" s="115">
        <v>626</v>
      </c>
      <c r="J30" s="45">
        <f t="shared" si="2"/>
        <v>0</v>
      </c>
      <c r="K30" s="45">
        <f t="shared" si="3"/>
        <v>0</v>
      </c>
      <c r="L30" s="45">
        <f t="shared" si="4"/>
        <v>0</v>
      </c>
      <c r="M30" s="45">
        <f t="shared" si="5"/>
        <v>0</v>
      </c>
      <c r="N30" s="46">
        <f t="shared" si="6"/>
        <v>0</v>
      </c>
    </row>
    <row r="31" spans="1:14" ht="15">
      <c r="A31" s="42" t="str">
        <f>"košile noční"</f>
        <v>košile noční</v>
      </c>
      <c r="B31" s="43"/>
      <c r="C31" s="100"/>
      <c r="D31" s="101"/>
      <c r="E31" s="102"/>
      <c r="F31" s="102"/>
      <c r="G31" s="44">
        <f t="shared" si="0"/>
        <v>0</v>
      </c>
      <c r="H31" s="44">
        <f t="shared" si="1"/>
        <v>0</v>
      </c>
      <c r="I31" s="115">
        <v>17082</v>
      </c>
      <c r="J31" s="45">
        <f t="shared" si="2"/>
        <v>0</v>
      </c>
      <c r="K31" s="45">
        <f t="shared" si="3"/>
        <v>0</v>
      </c>
      <c r="L31" s="45">
        <f t="shared" si="4"/>
        <v>0</v>
      </c>
      <c r="M31" s="45">
        <f t="shared" si="5"/>
        <v>0</v>
      </c>
      <c r="N31" s="46">
        <f t="shared" si="6"/>
        <v>0</v>
      </c>
    </row>
    <row r="32" spans="1:14" ht="15">
      <c r="A32" s="42" t="str">
        <f>"košile noční"</f>
        <v>košile noční</v>
      </c>
      <c r="B32" s="43" t="s">
        <v>42</v>
      </c>
      <c r="C32" s="100"/>
      <c r="D32" s="101"/>
      <c r="E32" s="102"/>
      <c r="F32" s="102"/>
      <c r="G32" s="44">
        <f t="shared" si="0"/>
        <v>0</v>
      </c>
      <c r="H32" s="44">
        <f t="shared" si="1"/>
        <v>0</v>
      </c>
      <c r="I32" s="115">
        <v>558</v>
      </c>
      <c r="J32" s="45">
        <f t="shared" si="2"/>
        <v>0</v>
      </c>
      <c r="K32" s="45">
        <f t="shared" si="3"/>
        <v>0</v>
      </c>
      <c r="L32" s="45">
        <f t="shared" si="4"/>
        <v>0</v>
      </c>
      <c r="M32" s="45">
        <f t="shared" si="5"/>
        <v>0</v>
      </c>
      <c r="N32" s="46">
        <f t="shared" si="6"/>
        <v>0</v>
      </c>
    </row>
    <row r="33" spans="1:14" ht="15">
      <c r="A33" s="42" t="str">
        <f>"košile noční Anděl"</f>
        <v>košile noční Anděl</v>
      </c>
      <c r="B33" s="43"/>
      <c r="C33" s="100"/>
      <c r="D33" s="101"/>
      <c r="E33" s="102"/>
      <c r="F33" s="102"/>
      <c r="G33" s="44">
        <f t="shared" si="0"/>
        <v>0</v>
      </c>
      <c r="H33" s="44">
        <f t="shared" si="1"/>
        <v>0</v>
      </c>
      <c r="I33" s="115">
        <v>45222</v>
      </c>
      <c r="J33" s="45">
        <f t="shared" si="2"/>
        <v>0</v>
      </c>
      <c r="K33" s="45">
        <f t="shared" si="3"/>
        <v>0</v>
      </c>
      <c r="L33" s="45">
        <f t="shared" si="4"/>
        <v>0</v>
      </c>
      <c r="M33" s="45">
        <f t="shared" si="5"/>
        <v>0</v>
      </c>
      <c r="N33" s="46">
        <f t="shared" si="6"/>
        <v>0</v>
      </c>
    </row>
    <row r="34" spans="1:14" ht="15">
      <c r="A34" s="42" t="str">
        <f>"župan"</f>
        <v>župan</v>
      </c>
      <c r="B34" s="43"/>
      <c r="C34" s="100"/>
      <c r="D34" s="101"/>
      <c r="E34" s="102"/>
      <c r="F34" s="102"/>
      <c r="G34" s="44">
        <f t="shared" si="0"/>
        <v>0</v>
      </c>
      <c r="H34" s="44">
        <f t="shared" si="1"/>
        <v>0</v>
      </c>
      <c r="I34" s="115">
        <v>475</v>
      </c>
      <c r="J34" s="45">
        <f t="shared" si="2"/>
        <v>0</v>
      </c>
      <c r="K34" s="45">
        <f t="shared" si="3"/>
        <v>0</v>
      </c>
      <c r="L34" s="45">
        <f t="shared" si="4"/>
        <v>0</v>
      </c>
      <c r="M34" s="45">
        <f t="shared" si="5"/>
        <v>0</v>
      </c>
      <c r="N34" s="46">
        <f t="shared" si="6"/>
        <v>0</v>
      </c>
    </row>
    <row r="35" spans="1:14" ht="15">
      <c r="A35" s="42" t="str">
        <f>"ručník"</f>
        <v>ručník</v>
      </c>
      <c r="B35" s="43"/>
      <c r="C35" s="100"/>
      <c r="D35" s="101"/>
      <c r="E35" s="102"/>
      <c r="F35" s="102"/>
      <c r="G35" s="44">
        <f t="shared" si="0"/>
        <v>0</v>
      </c>
      <c r="H35" s="44">
        <f t="shared" si="1"/>
        <v>0</v>
      </c>
      <c r="I35" s="115">
        <v>46263</v>
      </c>
      <c r="J35" s="45">
        <f t="shared" si="2"/>
        <v>0</v>
      </c>
      <c r="K35" s="45">
        <f t="shared" si="3"/>
        <v>0</v>
      </c>
      <c r="L35" s="45">
        <f t="shared" si="4"/>
        <v>0</v>
      </c>
      <c r="M35" s="45">
        <f t="shared" si="5"/>
        <v>0</v>
      </c>
      <c r="N35" s="46">
        <f t="shared" si="6"/>
        <v>0</v>
      </c>
    </row>
    <row r="36" spans="1:14" ht="15">
      <c r="A36" s="92" t="str">
        <f>"ručník froté"</f>
        <v>ručník froté</v>
      </c>
      <c r="B36" s="93"/>
      <c r="C36" s="100"/>
      <c r="D36" s="101"/>
      <c r="E36" s="102"/>
      <c r="F36" s="102"/>
      <c r="G36" s="94">
        <f t="shared" si="0"/>
        <v>0</v>
      </c>
      <c r="H36" s="94">
        <f t="shared" si="1"/>
        <v>0</v>
      </c>
      <c r="I36" s="114">
        <v>11585</v>
      </c>
      <c r="J36" s="95">
        <f t="shared" si="2"/>
        <v>0</v>
      </c>
      <c r="K36" s="95">
        <f t="shared" si="3"/>
        <v>0</v>
      </c>
      <c r="L36" s="95">
        <f t="shared" si="4"/>
        <v>0</v>
      </c>
      <c r="M36" s="95">
        <f t="shared" si="5"/>
        <v>0</v>
      </c>
      <c r="N36" s="96">
        <f t="shared" si="6"/>
        <v>0</v>
      </c>
    </row>
    <row r="37" spans="1:14" ht="15">
      <c r="A37" s="92" t="str">
        <f>"utěrka"</f>
        <v>utěrka</v>
      </c>
      <c r="B37" s="93"/>
      <c r="C37" s="100"/>
      <c r="D37" s="101"/>
      <c r="E37" s="102"/>
      <c r="F37" s="102"/>
      <c r="G37" s="94">
        <f t="shared" si="0"/>
        <v>0</v>
      </c>
      <c r="H37" s="94">
        <f t="shared" si="1"/>
        <v>0</v>
      </c>
      <c r="I37" s="114">
        <v>14325</v>
      </c>
      <c r="J37" s="95">
        <f t="shared" si="2"/>
        <v>0</v>
      </c>
      <c r="K37" s="95">
        <f t="shared" si="3"/>
        <v>0</v>
      </c>
      <c r="L37" s="95">
        <f t="shared" si="4"/>
        <v>0</v>
      </c>
      <c r="M37" s="95">
        <f t="shared" si="5"/>
        <v>0</v>
      </c>
      <c r="N37" s="96">
        <f t="shared" si="6"/>
        <v>0</v>
      </c>
    </row>
    <row r="38" spans="1:14" ht="15">
      <c r="A38" s="92" t="str">
        <f>"halena"</f>
        <v>halena</v>
      </c>
      <c r="B38" s="93" t="str">
        <f>"bílá"</f>
        <v>bílá</v>
      </c>
      <c r="C38" s="100"/>
      <c r="D38" s="101"/>
      <c r="E38" s="102"/>
      <c r="F38" s="102"/>
      <c r="G38" s="94">
        <f t="shared" si="0"/>
        <v>0</v>
      </c>
      <c r="H38" s="94">
        <f t="shared" si="1"/>
        <v>0</v>
      </c>
      <c r="I38" s="114">
        <v>11088</v>
      </c>
      <c r="J38" s="95">
        <f t="shared" si="2"/>
        <v>0</v>
      </c>
      <c r="K38" s="95">
        <f t="shared" si="3"/>
        <v>0</v>
      </c>
      <c r="L38" s="95">
        <f t="shared" si="4"/>
        <v>0</v>
      </c>
      <c r="M38" s="95">
        <f t="shared" si="5"/>
        <v>0</v>
      </c>
      <c r="N38" s="96">
        <f t="shared" si="6"/>
        <v>0</v>
      </c>
    </row>
    <row r="39" spans="1:14" ht="15">
      <c r="A39" s="92" t="str">
        <f>"halena"</f>
        <v>halena</v>
      </c>
      <c r="B39" s="93" t="s">
        <v>2</v>
      </c>
      <c r="C39" s="100"/>
      <c r="D39" s="101"/>
      <c r="E39" s="102"/>
      <c r="F39" s="102"/>
      <c r="G39" s="94">
        <f t="shared" si="0"/>
        <v>0</v>
      </c>
      <c r="H39" s="94">
        <f t="shared" si="1"/>
        <v>0</v>
      </c>
      <c r="I39" s="114">
        <v>31691</v>
      </c>
      <c r="J39" s="95">
        <f t="shared" si="2"/>
        <v>0</v>
      </c>
      <c r="K39" s="95">
        <f t="shared" si="3"/>
        <v>0</v>
      </c>
      <c r="L39" s="95">
        <f t="shared" si="4"/>
        <v>0</v>
      </c>
      <c r="M39" s="95">
        <f t="shared" si="5"/>
        <v>0</v>
      </c>
      <c r="N39" s="96">
        <f t="shared" si="6"/>
        <v>0</v>
      </c>
    </row>
    <row r="40" spans="1:14" ht="15">
      <c r="A40" s="92" t="str">
        <f>"halena"</f>
        <v>halena</v>
      </c>
      <c r="B40" s="93" t="s">
        <v>37</v>
      </c>
      <c r="C40" s="100"/>
      <c r="D40" s="101"/>
      <c r="E40" s="102"/>
      <c r="F40" s="102"/>
      <c r="G40" s="94">
        <f t="shared" si="0"/>
        <v>0</v>
      </c>
      <c r="H40" s="94">
        <f t="shared" si="1"/>
        <v>0</v>
      </c>
      <c r="I40" s="114">
        <v>13642</v>
      </c>
      <c r="J40" s="95">
        <f t="shared" si="2"/>
        <v>0</v>
      </c>
      <c r="K40" s="95">
        <f t="shared" si="3"/>
        <v>0</v>
      </c>
      <c r="L40" s="95">
        <f t="shared" si="4"/>
        <v>0</v>
      </c>
      <c r="M40" s="95">
        <f t="shared" si="5"/>
        <v>0</v>
      </c>
      <c r="N40" s="96">
        <f t="shared" si="6"/>
        <v>0</v>
      </c>
    </row>
    <row r="41" spans="1:14" ht="15">
      <c r="A41" s="92" t="str">
        <f>"halena žlutý P"</f>
        <v>halena žlutý P</v>
      </c>
      <c r="B41" s="93" t="s">
        <v>3</v>
      </c>
      <c r="C41" s="100"/>
      <c r="D41" s="101"/>
      <c r="E41" s="102"/>
      <c r="F41" s="102"/>
      <c r="G41" s="94">
        <f t="shared" si="0"/>
        <v>0</v>
      </c>
      <c r="H41" s="94">
        <f t="shared" si="1"/>
        <v>0</v>
      </c>
      <c r="I41" s="114">
        <v>4153</v>
      </c>
      <c r="J41" s="95">
        <f t="shared" si="2"/>
        <v>0</v>
      </c>
      <c r="K41" s="95">
        <f t="shared" si="3"/>
        <v>0</v>
      </c>
      <c r="L41" s="95">
        <f t="shared" si="4"/>
        <v>0</v>
      </c>
      <c r="M41" s="95">
        <f t="shared" si="5"/>
        <v>0</v>
      </c>
      <c r="N41" s="96">
        <f t="shared" si="6"/>
        <v>0</v>
      </c>
    </row>
    <row r="42" spans="1:14" ht="15">
      <c r="A42" s="92" t="str">
        <f>"halena modrý P"</f>
        <v>halena modrý P</v>
      </c>
      <c r="B42" s="93" t="s">
        <v>3</v>
      </c>
      <c r="C42" s="100"/>
      <c r="D42" s="101"/>
      <c r="E42" s="102"/>
      <c r="F42" s="102"/>
      <c r="G42" s="94">
        <f t="shared" si="0"/>
        <v>0</v>
      </c>
      <c r="H42" s="94">
        <f t="shared" si="1"/>
        <v>0</v>
      </c>
      <c r="I42" s="114">
        <v>36309</v>
      </c>
      <c r="J42" s="95">
        <f t="shared" si="2"/>
        <v>0</v>
      </c>
      <c r="K42" s="95">
        <f t="shared" si="3"/>
        <v>0</v>
      </c>
      <c r="L42" s="95">
        <f t="shared" si="4"/>
        <v>0</v>
      </c>
      <c r="M42" s="95">
        <f t="shared" si="5"/>
        <v>0</v>
      </c>
      <c r="N42" s="96">
        <f t="shared" si="6"/>
        <v>0</v>
      </c>
    </row>
    <row r="43" spans="1:14" ht="15">
      <c r="A43" s="92" t="str">
        <f>"košile (halena s límcem)"</f>
        <v>košile (halena s límcem)</v>
      </c>
      <c r="B43" s="93" t="s">
        <v>3</v>
      </c>
      <c r="C43" s="100"/>
      <c r="D43" s="101"/>
      <c r="E43" s="102"/>
      <c r="F43" s="102"/>
      <c r="G43" s="94">
        <f t="shared" si="0"/>
        <v>0</v>
      </c>
      <c r="H43" s="94">
        <f t="shared" si="1"/>
        <v>0</v>
      </c>
      <c r="I43" s="114">
        <v>6075</v>
      </c>
      <c r="J43" s="95">
        <f t="shared" si="2"/>
        <v>0</v>
      </c>
      <c r="K43" s="95">
        <f t="shared" si="3"/>
        <v>0</v>
      </c>
      <c r="L43" s="95">
        <f t="shared" si="4"/>
        <v>0</v>
      </c>
      <c r="M43" s="95">
        <f t="shared" si="5"/>
        <v>0</v>
      </c>
      <c r="N43" s="96">
        <f t="shared" si="6"/>
        <v>0</v>
      </c>
    </row>
    <row r="44" spans="1:18" ht="15">
      <c r="A44" s="92" t="str">
        <f aca="true" t="shared" si="14" ref="A44:A46">"kalhoty"</f>
        <v>kalhoty</v>
      </c>
      <c r="B44" s="93" t="s">
        <v>43</v>
      </c>
      <c r="C44" s="100"/>
      <c r="D44" s="101"/>
      <c r="E44" s="102"/>
      <c r="F44" s="102"/>
      <c r="G44" s="94">
        <f t="shared" si="0"/>
        <v>0</v>
      </c>
      <c r="H44" s="94">
        <f t="shared" si="1"/>
        <v>0</v>
      </c>
      <c r="I44" s="114">
        <v>52386</v>
      </c>
      <c r="J44" s="95">
        <f t="shared" si="2"/>
        <v>0</v>
      </c>
      <c r="K44" s="95">
        <f t="shared" si="3"/>
        <v>0</v>
      </c>
      <c r="L44" s="95">
        <f t="shared" si="4"/>
        <v>0</v>
      </c>
      <c r="M44" s="95">
        <f t="shared" si="5"/>
        <v>0</v>
      </c>
      <c r="N44" s="96">
        <f t="shared" si="6"/>
        <v>0</v>
      </c>
      <c r="R44" s="75"/>
    </row>
    <row r="45" spans="1:18" ht="15">
      <c r="A45" s="42" t="str">
        <f t="shared" si="14"/>
        <v>kalhoty</v>
      </c>
      <c r="B45" s="43" t="s">
        <v>44</v>
      </c>
      <c r="C45" s="100"/>
      <c r="D45" s="101"/>
      <c r="E45" s="102"/>
      <c r="F45" s="102"/>
      <c r="G45" s="44">
        <f t="shared" si="0"/>
        <v>0</v>
      </c>
      <c r="H45" s="44">
        <f t="shared" si="1"/>
        <v>0</v>
      </c>
      <c r="I45" s="115">
        <v>30164</v>
      </c>
      <c r="J45" s="45">
        <f t="shared" si="2"/>
        <v>0</v>
      </c>
      <c r="K45" s="45">
        <f t="shared" si="3"/>
        <v>0</v>
      </c>
      <c r="L45" s="45">
        <f t="shared" si="4"/>
        <v>0</v>
      </c>
      <c r="M45" s="45">
        <f t="shared" si="5"/>
        <v>0</v>
      </c>
      <c r="N45" s="46">
        <f t="shared" si="6"/>
        <v>0</v>
      </c>
      <c r="R45" s="75"/>
    </row>
    <row r="46" spans="1:18" ht="15">
      <c r="A46" s="42" t="str">
        <f t="shared" si="14"/>
        <v>kalhoty</v>
      </c>
      <c r="B46" s="43" t="s">
        <v>45</v>
      </c>
      <c r="C46" s="100"/>
      <c r="D46" s="101"/>
      <c r="E46" s="102"/>
      <c r="F46" s="102"/>
      <c r="G46" s="44">
        <f t="shared" si="0"/>
        <v>0</v>
      </c>
      <c r="H46" s="44">
        <f t="shared" si="1"/>
        <v>0</v>
      </c>
      <c r="I46" s="115">
        <v>10914</v>
      </c>
      <c r="J46" s="45">
        <f t="shared" si="2"/>
        <v>0</v>
      </c>
      <c r="K46" s="45">
        <f t="shared" si="3"/>
        <v>0</v>
      </c>
      <c r="L46" s="45">
        <f t="shared" si="4"/>
        <v>0</v>
      </c>
      <c r="M46" s="45">
        <f t="shared" si="5"/>
        <v>0</v>
      </c>
      <c r="N46" s="46">
        <f t="shared" si="6"/>
        <v>0</v>
      </c>
      <c r="R46" s="75"/>
    </row>
    <row r="47" spans="1:14" ht="15">
      <c r="A47" s="42" t="str">
        <f>"plášť"</f>
        <v>plášť</v>
      </c>
      <c r="B47" s="43" t="str">
        <f>"bílý "</f>
        <v xml:space="preserve">bílý </v>
      </c>
      <c r="C47" s="100"/>
      <c r="D47" s="101"/>
      <c r="E47" s="102"/>
      <c r="F47" s="102"/>
      <c r="G47" s="44">
        <f t="shared" si="0"/>
        <v>0</v>
      </c>
      <c r="H47" s="44">
        <f t="shared" si="1"/>
        <v>0</v>
      </c>
      <c r="I47" s="115">
        <v>1381</v>
      </c>
      <c r="J47" s="45">
        <f t="shared" si="2"/>
        <v>0</v>
      </c>
      <c r="K47" s="45">
        <f t="shared" si="3"/>
        <v>0</v>
      </c>
      <c r="L47" s="45">
        <f t="shared" si="4"/>
        <v>0</v>
      </c>
      <c r="M47" s="45">
        <f t="shared" si="5"/>
        <v>0</v>
      </c>
      <c r="N47" s="46">
        <f t="shared" si="6"/>
        <v>0</v>
      </c>
    </row>
    <row r="48" spans="1:14" ht="15">
      <c r="A48" s="42" t="str">
        <f>"sukně"</f>
        <v>sukně</v>
      </c>
      <c r="B48" s="43" t="str">
        <f>"bílá "</f>
        <v xml:space="preserve">bílá </v>
      </c>
      <c r="C48" s="100"/>
      <c r="D48" s="101"/>
      <c r="E48" s="102"/>
      <c r="F48" s="102"/>
      <c r="G48" s="44">
        <f t="shared" si="0"/>
        <v>0</v>
      </c>
      <c r="H48" s="44">
        <f t="shared" si="1"/>
        <v>0</v>
      </c>
      <c r="I48" s="115">
        <v>718</v>
      </c>
      <c r="J48" s="45">
        <f t="shared" si="2"/>
        <v>0</v>
      </c>
      <c r="K48" s="45">
        <f t="shared" si="3"/>
        <v>0</v>
      </c>
      <c r="L48" s="45">
        <f t="shared" si="4"/>
        <v>0</v>
      </c>
      <c r="M48" s="45">
        <f>J48*0.21</f>
        <v>0</v>
      </c>
      <c r="N48" s="46">
        <f t="shared" si="6"/>
        <v>0</v>
      </c>
    </row>
    <row r="49" spans="1:14" ht="15">
      <c r="A49" s="42" t="str">
        <f>"sukně"</f>
        <v>sukně</v>
      </c>
      <c r="B49" s="43" t="str">
        <f>"žlutá "</f>
        <v xml:space="preserve">žlutá </v>
      </c>
      <c r="C49" s="100"/>
      <c r="D49" s="101"/>
      <c r="E49" s="102"/>
      <c r="F49" s="102"/>
      <c r="G49" s="44">
        <f t="shared" si="0"/>
        <v>0</v>
      </c>
      <c r="H49" s="44">
        <f t="shared" si="1"/>
        <v>0</v>
      </c>
      <c r="I49" s="115">
        <v>50</v>
      </c>
      <c r="J49" s="45">
        <f t="shared" si="2"/>
        <v>0</v>
      </c>
      <c r="K49" s="45">
        <f t="shared" si="3"/>
        <v>0</v>
      </c>
      <c r="L49" s="45">
        <f t="shared" si="4"/>
        <v>0</v>
      </c>
      <c r="M49" s="45">
        <f t="shared" si="5"/>
        <v>0</v>
      </c>
      <c r="N49" s="46">
        <f t="shared" si="6"/>
        <v>0</v>
      </c>
    </row>
    <row r="50" spans="1:14" ht="15">
      <c r="A50" s="42" t="str">
        <f>"šortky"</f>
        <v>šortky</v>
      </c>
      <c r="B50" s="43" t="str">
        <f>"bílé "</f>
        <v xml:space="preserve">bílé </v>
      </c>
      <c r="C50" s="100"/>
      <c r="D50" s="101"/>
      <c r="E50" s="102"/>
      <c r="F50" s="102"/>
      <c r="G50" s="44">
        <f t="shared" si="0"/>
        <v>0</v>
      </c>
      <c r="H50" s="44">
        <f t="shared" si="1"/>
        <v>0</v>
      </c>
      <c r="I50" s="115">
        <v>4198</v>
      </c>
      <c r="J50" s="45">
        <f t="shared" si="2"/>
        <v>0</v>
      </c>
      <c r="K50" s="45">
        <f t="shared" si="3"/>
        <v>0</v>
      </c>
      <c r="L50" s="45">
        <f t="shared" si="4"/>
        <v>0</v>
      </c>
      <c r="M50" s="45">
        <f t="shared" si="5"/>
        <v>0</v>
      </c>
      <c r="N50" s="46">
        <f t="shared" si="6"/>
        <v>0</v>
      </c>
    </row>
    <row r="51" spans="1:14" ht="15">
      <c r="A51" s="42" t="str">
        <f>"šortky"</f>
        <v>šortky</v>
      </c>
      <c r="B51" s="43" t="str">
        <f>"žluté "</f>
        <v xml:space="preserve">žluté </v>
      </c>
      <c r="C51" s="100"/>
      <c r="D51" s="101"/>
      <c r="E51" s="102"/>
      <c r="F51" s="102"/>
      <c r="G51" s="44">
        <f aca="true" t="shared" si="15" ref="G51:G53">D51*0.21</f>
        <v>0</v>
      </c>
      <c r="H51" s="44">
        <f aca="true" t="shared" si="16" ref="H51:H53">ROUND(D51+G51,2)</f>
        <v>0</v>
      </c>
      <c r="I51" s="115">
        <v>2063</v>
      </c>
      <c r="J51" s="45">
        <f aca="true" t="shared" si="17" ref="J51:J53">D51*I51</f>
        <v>0</v>
      </c>
      <c r="K51" s="45">
        <f aca="true" t="shared" si="18" ref="K51:K53">+I51*E51</f>
        <v>0</v>
      </c>
      <c r="L51" s="45">
        <f aca="true" t="shared" si="19" ref="L51:L53">+I51*F51</f>
        <v>0</v>
      </c>
      <c r="M51" s="45">
        <f aca="true" t="shared" si="20" ref="M51:M53">J51*0.21</f>
        <v>0</v>
      </c>
      <c r="N51" s="46">
        <f aca="true" t="shared" si="21" ref="N51:N53">ROUND(J51+M51,2)</f>
        <v>0</v>
      </c>
    </row>
    <row r="52" spans="1:14" ht="15">
      <c r="A52" s="42" t="str">
        <f>"halena bílá TÝDENNÍ SAZBA"</f>
        <v>halena bílá TÝDENNÍ SAZBA</v>
      </c>
      <c r="B52" s="43" t="str">
        <f>"kuchyně KV bílá "</f>
        <v xml:space="preserve">kuchyně KV bílá </v>
      </c>
      <c r="C52" s="100"/>
      <c r="D52" s="101"/>
      <c r="E52" s="102"/>
      <c r="F52" s="102"/>
      <c r="G52" s="44">
        <f t="shared" si="15"/>
        <v>0</v>
      </c>
      <c r="H52" s="44">
        <f t="shared" si="16"/>
        <v>0</v>
      </c>
      <c r="I52" s="115">
        <v>3380</v>
      </c>
      <c r="J52" s="45">
        <f t="shared" si="17"/>
        <v>0</v>
      </c>
      <c r="K52" s="45">
        <f t="shared" si="18"/>
        <v>0</v>
      </c>
      <c r="L52" s="45">
        <f t="shared" si="19"/>
        <v>0</v>
      </c>
      <c r="M52" s="45">
        <f t="shared" si="20"/>
        <v>0</v>
      </c>
      <c r="N52" s="46">
        <f t="shared" si="21"/>
        <v>0</v>
      </c>
    </row>
    <row r="53" spans="1:14" ht="15.75" thickBot="1">
      <c r="A53" s="47" t="str">
        <f>"kalhoty bílé TÝDENNÍ SAZBA"</f>
        <v>kalhoty bílé TÝDENNÍ SAZBA</v>
      </c>
      <c r="B53" s="48" t="str">
        <f>"kuchyně KV bílé "</f>
        <v xml:space="preserve">kuchyně KV bílé </v>
      </c>
      <c r="C53" s="66"/>
      <c r="D53" s="65"/>
      <c r="E53" s="103"/>
      <c r="F53" s="103"/>
      <c r="G53" s="49">
        <f t="shared" si="15"/>
        <v>0</v>
      </c>
      <c r="H53" s="49">
        <f t="shared" si="16"/>
        <v>0</v>
      </c>
      <c r="I53" s="110">
        <v>3380</v>
      </c>
      <c r="J53" s="50">
        <f t="shared" si="17"/>
        <v>0</v>
      </c>
      <c r="K53" s="50">
        <f t="shared" si="18"/>
        <v>0</v>
      </c>
      <c r="L53" s="50">
        <f t="shared" si="19"/>
        <v>0</v>
      </c>
      <c r="M53" s="50">
        <f t="shared" si="20"/>
        <v>0</v>
      </c>
      <c r="N53" s="51">
        <f t="shared" si="21"/>
        <v>0</v>
      </c>
    </row>
    <row r="54" spans="1:14" s="52" customFormat="1" ht="15.75" thickBot="1">
      <c r="A54" s="128" t="s">
        <v>16</v>
      </c>
      <c r="B54" s="129"/>
      <c r="C54" s="129"/>
      <c r="D54" s="129"/>
      <c r="E54" s="129"/>
      <c r="F54" s="129"/>
      <c r="G54" s="129"/>
      <c r="H54" s="129"/>
      <c r="I54" s="130"/>
      <c r="J54" s="55">
        <f>SUM(J5:J53)</f>
        <v>0</v>
      </c>
      <c r="K54" s="55">
        <f>SUM(K5:K53)</f>
        <v>0</v>
      </c>
      <c r="L54" s="55">
        <f>SUM(L5:L53)</f>
        <v>0</v>
      </c>
      <c r="M54" s="56">
        <f>SUM(M5:M53)</f>
        <v>0</v>
      </c>
      <c r="N54" s="57">
        <f>SUM(N5:N53)</f>
        <v>0</v>
      </c>
    </row>
    <row r="55" spans="1:14" s="54" customFormat="1" ht="15.75" thickBot="1">
      <c r="A55" s="131" t="s">
        <v>17</v>
      </c>
      <c r="B55" s="132"/>
      <c r="C55" s="132"/>
      <c r="D55" s="132"/>
      <c r="E55" s="132"/>
      <c r="F55" s="132"/>
      <c r="G55" s="132"/>
      <c r="H55" s="132"/>
      <c r="I55" s="133"/>
      <c r="J55" s="53">
        <f>J54*4</f>
        <v>0</v>
      </c>
      <c r="K55" s="58">
        <f aca="true" t="shared" si="22" ref="K55:L55">K54*4</f>
        <v>0</v>
      </c>
      <c r="L55" s="58">
        <f t="shared" si="22"/>
        <v>0</v>
      </c>
      <c r="M55" s="59">
        <f>M54*4</f>
        <v>0</v>
      </c>
      <c r="N55" s="60">
        <f>N54*4</f>
        <v>0</v>
      </c>
    </row>
    <row r="56" ht="66.75" customHeight="1">
      <c r="A56" s="30" t="s">
        <v>11</v>
      </c>
    </row>
    <row r="57" ht="72" customHeight="1">
      <c r="A57" s="30" t="s">
        <v>12</v>
      </c>
    </row>
    <row r="58" ht="15">
      <c r="A58" s="30" t="s">
        <v>33</v>
      </c>
    </row>
  </sheetData>
  <mergeCells count="3">
    <mergeCell ref="A2:N2"/>
    <mergeCell ref="A54:I54"/>
    <mergeCell ref="A55:I55"/>
  </mergeCells>
  <printOptions/>
  <pageMargins left="0.25" right="0.25" top="0.75" bottom="0.75" header="0.3" footer="0.3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5"/>
  <sheetViews>
    <sheetView showGridLines="0" zoomScale="90" zoomScaleNormal="90" workbookViewId="0" topLeftCell="A1">
      <pane ySplit="4" topLeftCell="A5" activePane="bottomLeft" state="frozen"/>
      <selection pane="bottomLeft" activeCell="L9" sqref="L9"/>
    </sheetView>
  </sheetViews>
  <sheetFormatPr defaultColWidth="8.8515625" defaultRowHeight="15"/>
  <cols>
    <col min="1" max="1" width="51.421875" style="0" bestFit="1" customWidth="1"/>
    <col min="2" max="2" width="19.421875" style="0" customWidth="1"/>
    <col min="3" max="3" width="11.7109375" style="0" customWidth="1"/>
    <col min="4" max="4" width="9.140625" style="0" customWidth="1"/>
    <col min="5" max="5" width="9.421875" style="0" customWidth="1"/>
    <col min="6" max="6" width="11.421875" style="0" customWidth="1"/>
    <col min="7" max="7" width="9.8515625" style="0" customWidth="1"/>
    <col min="8" max="8" width="9.421875" style="0" customWidth="1"/>
    <col min="9" max="9" width="10.28125" style="0" customWidth="1"/>
  </cols>
  <sheetData>
    <row r="1" ht="15.75">
      <c r="A1" s="72" t="s">
        <v>32</v>
      </c>
    </row>
    <row r="2" spans="1:10" ht="53.25" customHeight="1">
      <c r="A2" s="134" t="s">
        <v>23</v>
      </c>
      <c r="B2" s="134"/>
      <c r="C2" s="134"/>
      <c r="D2" s="134"/>
      <c r="E2" s="134"/>
      <c r="F2" s="134"/>
      <c r="G2" s="134"/>
      <c r="H2" s="134"/>
      <c r="I2" s="134"/>
      <c r="J2" s="1"/>
    </row>
    <row r="3" spans="1:9" ht="22.5" customHeight="1" thickBot="1">
      <c r="A3" s="3"/>
      <c r="B3" s="3"/>
      <c r="C3" s="3"/>
      <c r="D3" s="3"/>
      <c r="E3" s="3"/>
      <c r="F3" s="3"/>
      <c r="G3" s="3"/>
      <c r="H3" s="3"/>
      <c r="I3" s="3"/>
    </row>
    <row r="4" spans="1:9" s="19" customFormat="1" ht="97.5" customHeight="1" thickBot="1">
      <c r="A4" s="12" t="s">
        <v>0</v>
      </c>
      <c r="B4" s="64" t="s">
        <v>31</v>
      </c>
      <c r="C4" s="20" t="s">
        <v>4</v>
      </c>
      <c r="D4" s="20" t="s">
        <v>18</v>
      </c>
      <c r="E4" s="20" t="s">
        <v>22</v>
      </c>
      <c r="F4" s="20" t="s">
        <v>5</v>
      </c>
      <c r="G4" s="20" t="s">
        <v>14</v>
      </c>
      <c r="H4" s="20" t="s">
        <v>19</v>
      </c>
      <c r="I4" s="21" t="s">
        <v>15</v>
      </c>
    </row>
    <row r="5" spans="1:9" ht="15">
      <c r="A5" s="88" t="str">
        <f>"prostěradlo"</f>
        <v>prostěradlo</v>
      </c>
      <c r="B5" s="104"/>
      <c r="C5" s="105"/>
      <c r="D5" s="89">
        <f aca="true" t="shared" si="0" ref="D5:D38">C5*0.21</f>
        <v>0</v>
      </c>
      <c r="E5" s="89">
        <f aca="true" t="shared" si="1" ref="E5:E38">ROUND(C5+D5,2)</f>
        <v>0</v>
      </c>
      <c r="F5" s="111">
        <v>75</v>
      </c>
      <c r="G5" s="90">
        <f aca="true" t="shared" si="2" ref="G5:G38">C5*F5</f>
        <v>0</v>
      </c>
      <c r="H5" s="90">
        <f aca="true" t="shared" si="3" ref="H5:H38">G5*0.21</f>
        <v>0</v>
      </c>
      <c r="I5" s="91">
        <f aca="true" t="shared" si="4" ref="I5:I38">ROUND(G5+H5,2)</f>
        <v>0</v>
      </c>
    </row>
    <row r="6" spans="1:9" ht="15">
      <c r="A6" s="87" t="str">
        <f>"povlak na přikrývku"</f>
        <v>povlak na přikrývku</v>
      </c>
      <c r="B6" s="100"/>
      <c r="C6" s="101"/>
      <c r="D6" s="79">
        <f t="shared" si="0"/>
        <v>0</v>
      </c>
      <c r="E6" s="79">
        <f t="shared" si="1"/>
        <v>0</v>
      </c>
      <c r="F6" s="111">
        <v>61</v>
      </c>
      <c r="G6" s="80">
        <f t="shared" si="2"/>
        <v>0</v>
      </c>
      <c r="H6" s="80">
        <f t="shared" si="3"/>
        <v>0</v>
      </c>
      <c r="I6" s="81">
        <f t="shared" si="4"/>
        <v>0</v>
      </c>
    </row>
    <row r="7" spans="1:9" ht="15">
      <c r="A7" s="87" t="str">
        <f>"povlak na polštář, dětské prostěradlo"</f>
        <v>povlak na polštář, dětské prostěradlo</v>
      </c>
      <c r="B7" s="100"/>
      <c r="C7" s="101"/>
      <c r="D7" s="79">
        <f t="shared" si="0"/>
        <v>0</v>
      </c>
      <c r="E7" s="79">
        <f t="shared" si="1"/>
        <v>0</v>
      </c>
      <c r="F7" s="111">
        <v>662</v>
      </c>
      <c r="G7" s="80">
        <f t="shared" si="2"/>
        <v>0</v>
      </c>
      <c r="H7" s="80">
        <f t="shared" si="3"/>
        <v>0</v>
      </c>
      <c r="I7" s="81">
        <f t="shared" si="4"/>
        <v>0</v>
      </c>
    </row>
    <row r="8" spans="1:9" ht="15">
      <c r="A8" s="87" t="str">
        <f>"povlak na polštář dětský"</f>
        <v>povlak na polštář dětský</v>
      </c>
      <c r="B8" s="100"/>
      <c r="C8" s="101"/>
      <c r="D8" s="79">
        <f t="shared" si="0"/>
        <v>0</v>
      </c>
      <c r="E8" s="79">
        <f t="shared" si="1"/>
        <v>0</v>
      </c>
      <c r="F8" s="111">
        <v>43</v>
      </c>
      <c r="G8" s="80">
        <f t="shared" si="2"/>
        <v>0</v>
      </c>
      <c r="H8" s="80">
        <f t="shared" si="3"/>
        <v>0</v>
      </c>
      <c r="I8" s="81">
        <f t="shared" si="4"/>
        <v>0</v>
      </c>
    </row>
    <row r="9" spans="1:9" ht="15">
      <c r="A9" s="87" t="str">
        <f>"podložka"</f>
        <v>podložka</v>
      </c>
      <c r="B9" s="100"/>
      <c r="C9" s="101"/>
      <c r="D9" s="79">
        <f t="shared" si="0"/>
        <v>0</v>
      </c>
      <c r="E9" s="79">
        <f t="shared" si="1"/>
        <v>0</v>
      </c>
      <c r="F9" s="111">
        <v>175</v>
      </c>
      <c r="G9" s="80">
        <f t="shared" si="2"/>
        <v>0</v>
      </c>
      <c r="H9" s="80">
        <f t="shared" si="3"/>
        <v>0</v>
      </c>
      <c r="I9" s="81">
        <f t="shared" si="4"/>
        <v>0</v>
      </c>
    </row>
    <row r="10" spans="1:9" ht="15">
      <c r="A10" s="87" t="str">
        <f>"potah matrace"</f>
        <v>potah matrace</v>
      </c>
      <c r="B10" s="100"/>
      <c r="C10" s="101"/>
      <c r="D10" s="79">
        <f t="shared" si="0"/>
        <v>0</v>
      </c>
      <c r="E10" s="79">
        <f t="shared" si="1"/>
        <v>0</v>
      </c>
      <c r="F10" s="111">
        <v>8</v>
      </c>
      <c r="G10" s="80">
        <f t="shared" si="2"/>
        <v>0</v>
      </c>
      <c r="H10" s="80">
        <f t="shared" si="3"/>
        <v>0</v>
      </c>
      <c r="I10" s="81">
        <f t="shared" si="4"/>
        <v>0</v>
      </c>
    </row>
    <row r="11" spans="1:9" ht="15">
      <c r="A11" s="87" t="str">
        <f>"ubrus do 3 m2"</f>
        <v>ubrus do 3 m2</v>
      </c>
      <c r="B11" s="100"/>
      <c r="C11" s="101"/>
      <c r="D11" s="79">
        <f t="shared" si="0"/>
        <v>0</v>
      </c>
      <c r="E11" s="79">
        <f t="shared" si="1"/>
        <v>0</v>
      </c>
      <c r="F11" s="111">
        <v>3</v>
      </c>
      <c r="G11" s="80">
        <f t="shared" si="2"/>
        <v>0</v>
      </c>
      <c r="H11" s="80">
        <f t="shared" si="3"/>
        <v>0</v>
      </c>
      <c r="I11" s="81">
        <f t="shared" si="4"/>
        <v>0</v>
      </c>
    </row>
    <row r="12" spans="1:9" ht="15">
      <c r="A12" s="87" t="str">
        <f>"záclona 1m"</f>
        <v>záclona 1m</v>
      </c>
      <c r="B12" s="100"/>
      <c r="C12" s="101"/>
      <c r="D12" s="79">
        <f t="shared" si="0"/>
        <v>0</v>
      </c>
      <c r="E12" s="79">
        <f t="shared" si="1"/>
        <v>0</v>
      </c>
      <c r="F12" s="111">
        <v>64.25</v>
      </c>
      <c r="G12" s="80">
        <f t="shared" si="2"/>
        <v>0</v>
      </c>
      <c r="H12" s="80">
        <f t="shared" si="3"/>
        <v>0</v>
      </c>
      <c r="I12" s="81">
        <f t="shared" si="4"/>
        <v>0</v>
      </c>
    </row>
    <row r="13" spans="1:9" ht="15">
      <c r="A13" s="87" t="str">
        <f>"závěs 1 m praní"</f>
        <v>závěs 1 m praní</v>
      </c>
      <c r="B13" s="100"/>
      <c r="C13" s="101"/>
      <c r="D13" s="79">
        <f t="shared" si="0"/>
        <v>0</v>
      </c>
      <c r="E13" s="79">
        <f t="shared" si="1"/>
        <v>0</v>
      </c>
      <c r="F13" s="111">
        <v>17.14</v>
      </c>
      <c r="G13" s="80">
        <f t="shared" si="2"/>
        <v>0</v>
      </c>
      <c r="H13" s="80">
        <f t="shared" si="3"/>
        <v>0</v>
      </c>
      <c r="I13" s="81">
        <f t="shared" si="4"/>
        <v>0</v>
      </c>
    </row>
    <row r="14" spans="1:9" ht="15">
      <c r="A14" s="87" t="str">
        <f>"přikrývka (deka)"</f>
        <v>přikrývka (deka)</v>
      </c>
      <c r="B14" s="100"/>
      <c r="C14" s="101"/>
      <c r="D14" s="79">
        <f t="shared" si="0"/>
        <v>0</v>
      </c>
      <c r="E14" s="79">
        <f t="shared" si="1"/>
        <v>0</v>
      </c>
      <c r="F14" s="111">
        <v>420</v>
      </c>
      <c r="G14" s="80">
        <f t="shared" si="2"/>
        <v>0</v>
      </c>
      <c r="H14" s="80">
        <f t="shared" si="3"/>
        <v>0</v>
      </c>
      <c r="I14" s="81">
        <f t="shared" si="4"/>
        <v>0</v>
      </c>
    </row>
    <row r="15" spans="1:9" ht="15">
      <c r="A15" s="87" t="str">
        <f>"ubrousek, dečka"</f>
        <v>ubrousek, dečka</v>
      </c>
      <c r="B15" s="100"/>
      <c r="C15" s="101"/>
      <c r="D15" s="79">
        <f t="shared" si="0"/>
        <v>0</v>
      </c>
      <c r="E15" s="79">
        <f t="shared" si="1"/>
        <v>0</v>
      </c>
      <c r="F15" s="111">
        <v>4</v>
      </c>
      <c r="G15" s="80">
        <f t="shared" si="2"/>
        <v>0</v>
      </c>
      <c r="H15" s="80">
        <f t="shared" si="3"/>
        <v>0</v>
      </c>
      <c r="I15" s="81">
        <f t="shared" si="4"/>
        <v>0</v>
      </c>
    </row>
    <row r="16" spans="1:9" ht="15">
      <c r="A16" s="87" t="str">
        <f>"šátek, příručník, operační pásy"</f>
        <v>šátek, příručník, operační pásy</v>
      </c>
      <c r="B16" s="100"/>
      <c r="C16" s="101"/>
      <c r="D16" s="79">
        <f t="shared" si="0"/>
        <v>0</v>
      </c>
      <c r="E16" s="79">
        <f t="shared" si="1"/>
        <v>0</v>
      </c>
      <c r="F16" s="111">
        <v>2</v>
      </c>
      <c r="G16" s="80">
        <f t="shared" si="2"/>
        <v>0</v>
      </c>
      <c r="H16" s="80">
        <f t="shared" si="3"/>
        <v>0</v>
      </c>
      <c r="I16" s="81">
        <f t="shared" si="4"/>
        <v>0</v>
      </c>
    </row>
    <row r="17" spans="1:9" ht="15">
      <c r="A17" s="87" t="str">
        <f>"utěrka"</f>
        <v>utěrka</v>
      </c>
      <c r="B17" s="100"/>
      <c r="C17" s="101"/>
      <c r="D17" s="79">
        <f t="shared" si="0"/>
        <v>0</v>
      </c>
      <c r="E17" s="79">
        <f t="shared" si="1"/>
        <v>0</v>
      </c>
      <c r="F17" s="111">
        <v>318</v>
      </c>
      <c r="G17" s="80">
        <f t="shared" si="2"/>
        <v>0</v>
      </c>
      <c r="H17" s="80">
        <f t="shared" si="3"/>
        <v>0</v>
      </c>
      <c r="I17" s="81">
        <f t="shared" si="4"/>
        <v>0</v>
      </c>
    </row>
    <row r="18" spans="1:9" ht="15">
      <c r="A18" s="87" t="str">
        <f>"ručník froté"</f>
        <v>ručník froté</v>
      </c>
      <c r="B18" s="100"/>
      <c r="C18" s="101"/>
      <c r="D18" s="79">
        <f t="shared" si="0"/>
        <v>0</v>
      </c>
      <c r="E18" s="79">
        <f t="shared" si="1"/>
        <v>0</v>
      </c>
      <c r="F18" s="111">
        <v>28</v>
      </c>
      <c r="G18" s="80">
        <f t="shared" si="2"/>
        <v>0</v>
      </c>
      <c r="H18" s="80">
        <f t="shared" si="3"/>
        <v>0</v>
      </c>
      <c r="I18" s="81">
        <f t="shared" si="4"/>
        <v>0</v>
      </c>
    </row>
    <row r="19" spans="1:9" ht="15">
      <c r="A19" s="87" t="str">
        <f>"ručník"</f>
        <v>ručník</v>
      </c>
      <c r="B19" s="100"/>
      <c r="C19" s="101"/>
      <c r="D19" s="79">
        <f t="shared" si="0"/>
        <v>0</v>
      </c>
      <c r="E19" s="79">
        <f t="shared" si="1"/>
        <v>0</v>
      </c>
      <c r="F19" s="111">
        <v>1119</v>
      </c>
      <c r="G19" s="80">
        <f t="shared" si="2"/>
        <v>0</v>
      </c>
      <c r="H19" s="80">
        <f t="shared" si="3"/>
        <v>0</v>
      </c>
      <c r="I19" s="81">
        <f t="shared" si="4"/>
        <v>0</v>
      </c>
    </row>
    <row r="20" spans="1:9" ht="15">
      <c r="A20" s="87" t="str">
        <f>"předložka froté"</f>
        <v>předložka froté</v>
      </c>
      <c r="B20" s="100"/>
      <c r="C20" s="101"/>
      <c r="D20" s="79">
        <f t="shared" si="0"/>
        <v>0</v>
      </c>
      <c r="E20" s="79">
        <f t="shared" si="1"/>
        <v>0</v>
      </c>
      <c r="F20" s="111">
        <v>4</v>
      </c>
      <c r="G20" s="80">
        <f t="shared" si="2"/>
        <v>0</v>
      </c>
      <c r="H20" s="80">
        <f t="shared" si="3"/>
        <v>0</v>
      </c>
      <c r="I20" s="81">
        <f t="shared" si="4"/>
        <v>0</v>
      </c>
    </row>
    <row r="21" spans="1:9" ht="15">
      <c r="A21" s="87" t="str">
        <f>"halena, vesta"</f>
        <v>halena, vesta</v>
      </c>
      <c r="B21" s="100"/>
      <c r="C21" s="101"/>
      <c r="D21" s="79">
        <f t="shared" si="0"/>
        <v>0</v>
      </c>
      <c r="E21" s="79">
        <f t="shared" si="1"/>
        <v>0</v>
      </c>
      <c r="F21" s="111">
        <v>1284.4</v>
      </c>
      <c r="G21" s="80">
        <f t="shared" si="2"/>
        <v>0</v>
      </c>
      <c r="H21" s="80">
        <f t="shared" si="3"/>
        <v>0</v>
      </c>
      <c r="I21" s="81">
        <f t="shared" si="4"/>
        <v>0</v>
      </c>
    </row>
    <row r="22" spans="1:9" ht="15">
      <c r="A22" s="87" t="str">
        <f>"košile noční, anděl"</f>
        <v>košile noční, anděl</v>
      </c>
      <c r="B22" s="100"/>
      <c r="C22" s="101"/>
      <c r="D22" s="79">
        <f t="shared" si="0"/>
        <v>0</v>
      </c>
      <c r="E22" s="79">
        <f t="shared" si="1"/>
        <v>0</v>
      </c>
      <c r="F22" s="111">
        <v>18</v>
      </c>
      <c r="G22" s="80">
        <f t="shared" si="2"/>
        <v>0</v>
      </c>
      <c r="H22" s="80">
        <f t="shared" si="3"/>
        <v>0</v>
      </c>
      <c r="I22" s="81">
        <f t="shared" si="4"/>
        <v>0</v>
      </c>
    </row>
    <row r="23" spans="1:9" ht="15">
      <c r="A23" s="87" t="str">
        <f>"župan"</f>
        <v>župan</v>
      </c>
      <c r="B23" s="100"/>
      <c r="C23" s="101"/>
      <c r="D23" s="79">
        <f t="shared" si="0"/>
        <v>0</v>
      </c>
      <c r="E23" s="79">
        <f t="shared" si="1"/>
        <v>0</v>
      </c>
      <c r="F23" s="111">
        <v>7</v>
      </c>
      <c r="G23" s="80">
        <f t="shared" si="2"/>
        <v>0</v>
      </c>
      <c r="H23" s="80">
        <f t="shared" si="3"/>
        <v>0</v>
      </c>
      <c r="I23" s="81">
        <f t="shared" si="4"/>
        <v>0</v>
      </c>
    </row>
    <row r="24" spans="1:9" ht="15">
      <c r="A24" s="87" t="str">
        <f>"župan dětský"</f>
        <v>župan dětský</v>
      </c>
      <c r="B24" s="100"/>
      <c r="C24" s="101"/>
      <c r="D24" s="79">
        <f t="shared" si="0"/>
        <v>0</v>
      </c>
      <c r="E24" s="79">
        <f t="shared" si="1"/>
        <v>0</v>
      </c>
      <c r="F24" s="111">
        <v>2</v>
      </c>
      <c r="G24" s="80">
        <f t="shared" si="2"/>
        <v>0</v>
      </c>
      <c r="H24" s="80">
        <f t="shared" si="3"/>
        <v>0</v>
      </c>
      <c r="I24" s="81">
        <f t="shared" si="4"/>
        <v>0</v>
      </c>
    </row>
    <row r="25" spans="1:9" ht="15">
      <c r="A25" s="87" t="str">
        <f>"dětské prádlo - dupačky, punčocháče, kalhotky, ost"</f>
        <v>dětské prádlo - dupačky, punčocháče, kalhotky, ost</v>
      </c>
      <c r="B25" s="100"/>
      <c r="C25" s="101"/>
      <c r="D25" s="79">
        <f t="shared" si="0"/>
        <v>0</v>
      </c>
      <c r="E25" s="79">
        <f t="shared" si="1"/>
        <v>0</v>
      </c>
      <c r="F25" s="111">
        <v>6605</v>
      </c>
      <c r="G25" s="80">
        <f t="shared" si="2"/>
        <v>0</v>
      </c>
      <c r="H25" s="80">
        <f t="shared" si="3"/>
        <v>0</v>
      </c>
      <c r="I25" s="81">
        <f t="shared" si="4"/>
        <v>0</v>
      </c>
    </row>
    <row r="26" spans="1:9" ht="15">
      <c r="A26" s="87" t="str">
        <f>"drobné do 25x25, bryndák, návleky, tonometr, ústenka"</f>
        <v>drobné do 25x25, bryndák, návleky, tonometr, ústenka</v>
      </c>
      <c r="B26" s="100"/>
      <c r="C26" s="101"/>
      <c r="D26" s="79">
        <f t="shared" si="0"/>
        <v>0</v>
      </c>
      <c r="E26" s="79">
        <f t="shared" si="1"/>
        <v>0</v>
      </c>
      <c r="F26" s="111">
        <v>1434</v>
      </c>
      <c r="G26" s="80">
        <f t="shared" si="2"/>
        <v>0</v>
      </c>
      <c r="H26" s="80">
        <f t="shared" si="3"/>
        <v>0</v>
      </c>
      <c r="I26" s="81">
        <f t="shared" si="4"/>
        <v>0</v>
      </c>
    </row>
    <row r="27" spans="1:9" ht="15">
      <c r="A27" s="87" t="str">
        <f>"spodní prádlo - slipy, trenýrky, štulpny 1 pár"</f>
        <v>spodní prádlo - slipy, trenýrky, štulpny 1 pár</v>
      </c>
      <c r="B27" s="100"/>
      <c r="C27" s="101"/>
      <c r="D27" s="79">
        <f t="shared" si="0"/>
        <v>0</v>
      </c>
      <c r="E27" s="79">
        <f t="shared" si="1"/>
        <v>0</v>
      </c>
      <c r="F27" s="111">
        <v>7</v>
      </c>
      <c r="G27" s="80">
        <f t="shared" si="2"/>
        <v>0</v>
      </c>
      <c r="H27" s="80">
        <f t="shared" si="3"/>
        <v>0</v>
      </c>
      <c r="I27" s="81">
        <f t="shared" si="4"/>
        <v>0</v>
      </c>
    </row>
    <row r="28" spans="1:9" ht="15">
      <c r="A28" s="87" t="str">
        <f>"čepice"</f>
        <v>čepice</v>
      </c>
      <c r="B28" s="100"/>
      <c r="C28" s="101"/>
      <c r="D28" s="79">
        <f t="shared" si="0"/>
        <v>0</v>
      </c>
      <c r="E28" s="79">
        <f t="shared" si="1"/>
        <v>0</v>
      </c>
      <c r="F28" s="111">
        <v>14</v>
      </c>
      <c r="G28" s="80">
        <f t="shared" si="2"/>
        <v>0</v>
      </c>
      <c r="H28" s="80">
        <f t="shared" si="3"/>
        <v>0</v>
      </c>
      <c r="I28" s="81">
        <f t="shared" si="4"/>
        <v>0</v>
      </c>
    </row>
    <row r="29" spans="1:9" ht="15">
      <c r="A29" s="87" t="str">
        <f>"dekuba"</f>
        <v>dekuba</v>
      </c>
      <c r="B29" s="100"/>
      <c r="C29" s="101"/>
      <c r="D29" s="79">
        <f t="shared" si="0"/>
        <v>0</v>
      </c>
      <c r="E29" s="79">
        <f t="shared" si="1"/>
        <v>0</v>
      </c>
      <c r="F29" s="111">
        <v>258</v>
      </c>
      <c r="G29" s="80">
        <f t="shared" si="2"/>
        <v>0</v>
      </c>
      <c r="H29" s="80">
        <f t="shared" si="3"/>
        <v>0</v>
      </c>
      <c r="I29" s="81">
        <f t="shared" si="4"/>
        <v>0</v>
      </c>
    </row>
    <row r="30" spans="1:9" ht="15">
      <c r="A30" s="87" t="str">
        <f>"košile (halenka, polokošile)"</f>
        <v>košile (halenka, polokošile)</v>
      </c>
      <c r="B30" s="100"/>
      <c r="C30" s="101"/>
      <c r="D30" s="79">
        <f t="shared" si="0"/>
        <v>0</v>
      </c>
      <c r="E30" s="79">
        <f t="shared" si="1"/>
        <v>0</v>
      </c>
      <c r="F30" s="111">
        <v>183</v>
      </c>
      <c r="G30" s="80">
        <f t="shared" si="2"/>
        <v>0</v>
      </c>
      <c r="H30" s="80">
        <f t="shared" si="3"/>
        <v>0</v>
      </c>
      <c r="I30" s="81">
        <f t="shared" si="4"/>
        <v>0</v>
      </c>
    </row>
    <row r="31" spans="1:9" ht="15">
      <c r="A31" s="87" t="str">
        <f>"blůza montérková"</f>
        <v>blůza montérková</v>
      </c>
      <c r="B31" s="100"/>
      <c r="C31" s="101"/>
      <c r="D31" s="79">
        <f t="shared" si="0"/>
        <v>0</v>
      </c>
      <c r="E31" s="79">
        <f t="shared" si="1"/>
        <v>0</v>
      </c>
      <c r="F31" s="111">
        <v>9</v>
      </c>
      <c r="G31" s="80">
        <f t="shared" si="2"/>
        <v>0</v>
      </c>
      <c r="H31" s="80">
        <f t="shared" si="3"/>
        <v>0</v>
      </c>
      <c r="I31" s="81">
        <f t="shared" si="4"/>
        <v>0</v>
      </c>
    </row>
    <row r="32" spans="1:9" ht="15">
      <c r="A32" s="87" t="str">
        <f>"kalhoty pracovní, lékařské, kalhoty 3/4"</f>
        <v>kalhoty pracovní, lékařské, kalhoty 3/4</v>
      </c>
      <c r="B32" s="100"/>
      <c r="C32" s="101"/>
      <c r="D32" s="79">
        <f t="shared" si="0"/>
        <v>0</v>
      </c>
      <c r="E32" s="79">
        <f t="shared" si="1"/>
        <v>0</v>
      </c>
      <c r="F32" s="111">
        <v>1186</v>
      </c>
      <c r="G32" s="80">
        <f t="shared" si="2"/>
        <v>0</v>
      </c>
      <c r="H32" s="80">
        <f t="shared" si="3"/>
        <v>0</v>
      </c>
      <c r="I32" s="81">
        <f t="shared" si="4"/>
        <v>0</v>
      </c>
    </row>
    <row r="33" spans="1:9" ht="15">
      <c r="A33" s="87" t="str">
        <f>"plášť pracovní, lékařský"</f>
        <v>plášť pracovní, lékařský</v>
      </c>
      <c r="B33" s="100"/>
      <c r="C33" s="101"/>
      <c r="D33" s="79">
        <f t="shared" si="0"/>
        <v>0</v>
      </c>
      <c r="E33" s="79">
        <f t="shared" si="1"/>
        <v>0</v>
      </c>
      <c r="F33" s="111">
        <v>190</v>
      </c>
      <c r="G33" s="80">
        <f t="shared" si="2"/>
        <v>0</v>
      </c>
      <c r="H33" s="80">
        <f t="shared" si="3"/>
        <v>0</v>
      </c>
      <c r="I33" s="81">
        <f t="shared" si="4"/>
        <v>0</v>
      </c>
    </row>
    <row r="34" spans="1:9" ht="15">
      <c r="A34" s="87" t="str">
        <f>"triko, nátělník"</f>
        <v>triko, nátělník</v>
      </c>
      <c r="B34" s="100"/>
      <c r="C34" s="101"/>
      <c r="D34" s="79">
        <f t="shared" si="0"/>
        <v>0</v>
      </c>
      <c r="E34" s="79">
        <f t="shared" si="1"/>
        <v>0</v>
      </c>
      <c r="F34" s="111">
        <v>198</v>
      </c>
      <c r="G34" s="80">
        <f t="shared" si="2"/>
        <v>0</v>
      </c>
      <c r="H34" s="80">
        <f t="shared" si="3"/>
        <v>0</v>
      </c>
      <c r="I34" s="81">
        <f t="shared" si="4"/>
        <v>0</v>
      </c>
    </row>
    <row r="35" spans="1:9" ht="15">
      <c r="A35" s="87" t="str">
        <f>"sportovní oblečení - mikina, tepláky, teplák.bunda"</f>
        <v>sportovní oblečení - mikina, tepláky, teplák.bunda</v>
      </c>
      <c r="B35" s="100"/>
      <c r="C35" s="101"/>
      <c r="D35" s="79">
        <f t="shared" si="0"/>
        <v>0</v>
      </c>
      <c r="E35" s="79">
        <f t="shared" si="1"/>
        <v>0</v>
      </c>
      <c r="F35" s="111">
        <v>73</v>
      </c>
      <c r="G35" s="80">
        <f t="shared" si="2"/>
        <v>0</v>
      </c>
      <c r="H35" s="80">
        <f t="shared" si="3"/>
        <v>0</v>
      </c>
      <c r="I35" s="81">
        <f t="shared" si="4"/>
        <v>0</v>
      </c>
    </row>
    <row r="36" spans="1:9" ht="15">
      <c r="A36" s="87" t="str">
        <f>"praní mopů za 1 kg"</f>
        <v>praní mopů za 1 kg</v>
      </c>
      <c r="B36" s="100"/>
      <c r="C36" s="101"/>
      <c r="D36" s="79">
        <f t="shared" si="0"/>
        <v>0</v>
      </c>
      <c r="E36" s="79">
        <f t="shared" si="1"/>
        <v>0</v>
      </c>
      <c r="F36" s="111">
        <v>21793.05</v>
      </c>
      <c r="G36" s="80">
        <f t="shared" si="2"/>
        <v>0</v>
      </c>
      <c r="H36" s="80">
        <f t="shared" si="3"/>
        <v>0</v>
      </c>
      <c r="I36" s="81">
        <f t="shared" si="4"/>
        <v>0</v>
      </c>
    </row>
    <row r="37" spans="1:9" ht="15">
      <c r="A37" s="87" t="str">
        <f>"pytel malý"</f>
        <v>pytel malý</v>
      </c>
      <c r="B37" s="100"/>
      <c r="C37" s="101"/>
      <c r="D37" s="79">
        <f t="shared" si="0"/>
        <v>0</v>
      </c>
      <c r="E37" s="79">
        <f t="shared" si="1"/>
        <v>0</v>
      </c>
      <c r="F37" s="111">
        <v>10</v>
      </c>
      <c r="G37" s="80">
        <f t="shared" si="2"/>
        <v>0</v>
      </c>
      <c r="H37" s="80">
        <f t="shared" si="3"/>
        <v>0</v>
      </c>
      <c r="I37" s="81">
        <f t="shared" si="4"/>
        <v>0</v>
      </c>
    </row>
    <row r="38" spans="1:9" ht="15.75" thickBot="1">
      <c r="A38" s="120" t="str">
        <f>"balení"</f>
        <v>balení</v>
      </c>
      <c r="B38" s="121"/>
      <c r="C38" s="122"/>
      <c r="D38" s="123">
        <f t="shared" si="0"/>
        <v>0</v>
      </c>
      <c r="E38" s="123">
        <f t="shared" si="1"/>
        <v>0</v>
      </c>
      <c r="F38" s="124">
        <v>2059.25</v>
      </c>
      <c r="G38" s="125">
        <f t="shared" si="2"/>
        <v>0</v>
      </c>
      <c r="H38" s="125">
        <f t="shared" si="3"/>
        <v>0</v>
      </c>
      <c r="I38" s="126">
        <f t="shared" si="4"/>
        <v>0</v>
      </c>
    </row>
    <row r="39" spans="1:9" s="11" customFormat="1" ht="15.75" thickBot="1">
      <c r="A39" s="135" t="s">
        <v>16</v>
      </c>
      <c r="B39" s="136"/>
      <c r="C39" s="136"/>
      <c r="D39" s="136"/>
      <c r="E39" s="136"/>
      <c r="F39" s="137"/>
      <c r="G39" s="62">
        <f>SUM(G5:G38)</f>
        <v>0</v>
      </c>
      <c r="H39" s="62">
        <f>SUM(H5:H38)</f>
        <v>0</v>
      </c>
      <c r="I39" s="63">
        <f>SUM(I5:I38)</f>
        <v>0</v>
      </c>
    </row>
    <row r="40" spans="1:9" s="2" customFormat="1" ht="15.75" thickBot="1">
      <c r="A40" s="138" t="s">
        <v>17</v>
      </c>
      <c r="B40" s="139"/>
      <c r="C40" s="139"/>
      <c r="D40" s="139"/>
      <c r="E40" s="139"/>
      <c r="F40" s="140"/>
      <c r="G40" s="119">
        <f>G39*4</f>
        <v>0</v>
      </c>
      <c r="H40" s="61">
        <f aca="true" t="shared" si="5" ref="H40:I40">H39*4</f>
        <v>0</v>
      </c>
      <c r="I40" s="73">
        <f t="shared" si="5"/>
        <v>0</v>
      </c>
    </row>
    <row r="42" ht="24.75" customHeight="1">
      <c r="A42" t="s">
        <v>11</v>
      </c>
    </row>
    <row r="43" ht="84" customHeight="1"/>
    <row r="44" ht="15">
      <c r="A44" t="s">
        <v>12</v>
      </c>
    </row>
    <row r="45" ht="15">
      <c r="A45" s="30" t="s">
        <v>33</v>
      </c>
    </row>
  </sheetData>
  <mergeCells count="3">
    <mergeCell ref="A2:I2"/>
    <mergeCell ref="A39:F39"/>
    <mergeCell ref="A40:F40"/>
  </mergeCells>
  <printOptions/>
  <pageMargins left="0.25" right="0.25" top="0.75" bottom="0.75" header="0.3" footer="0.3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55"/>
  <sheetViews>
    <sheetView showGridLines="0" zoomScale="90" zoomScaleNormal="90" workbookViewId="0" topLeftCell="A1">
      <pane ySplit="4" topLeftCell="A5" activePane="bottomLeft" state="frozen"/>
      <selection pane="bottomLeft" activeCell="Q15" sqref="Q15"/>
    </sheetView>
  </sheetViews>
  <sheetFormatPr defaultColWidth="8.8515625" defaultRowHeight="15"/>
  <cols>
    <col min="1" max="1" width="31.8515625" style="0" bestFit="1" customWidth="1"/>
    <col min="2" max="2" width="19.140625" style="0" bestFit="1" customWidth="1"/>
    <col min="3" max="3" width="19.140625" style="0" customWidth="1"/>
    <col min="4" max="4" width="11.421875" style="0" customWidth="1"/>
    <col min="5" max="5" width="10.00390625" style="0" customWidth="1"/>
    <col min="6" max="8" width="9.421875" style="0" customWidth="1"/>
    <col min="9" max="9" width="10.8515625" style="0" customWidth="1"/>
    <col min="10" max="11" width="10.28125" style="0" customWidth="1"/>
    <col min="12" max="12" width="10.140625" style="0" customWidth="1"/>
    <col min="13" max="13" width="8.421875" style="0" customWidth="1"/>
    <col min="14" max="14" width="11.421875" style="0" customWidth="1"/>
  </cols>
  <sheetData>
    <row r="1" ht="15.75">
      <c r="A1" s="72" t="s">
        <v>32</v>
      </c>
    </row>
    <row r="2" spans="1:14" ht="53.25" customHeight="1">
      <c r="A2" s="141" t="s">
        <v>30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ht="20.25" customHeight="1" thickBot="1"/>
    <row r="4" spans="1:14" ht="96" customHeight="1" thickBot="1">
      <c r="A4" s="32" t="s">
        <v>0</v>
      </c>
      <c r="B4" s="33" t="s">
        <v>1</v>
      </c>
      <c r="C4" s="64" t="s">
        <v>31</v>
      </c>
      <c r="D4" s="35" t="s">
        <v>4</v>
      </c>
      <c r="E4" s="34" t="s">
        <v>34</v>
      </c>
      <c r="F4" s="34" t="s">
        <v>27</v>
      </c>
      <c r="G4" s="35" t="s">
        <v>18</v>
      </c>
      <c r="H4" s="35" t="s">
        <v>22</v>
      </c>
      <c r="I4" s="35" t="s">
        <v>5</v>
      </c>
      <c r="J4" s="35" t="s">
        <v>26</v>
      </c>
      <c r="K4" s="35" t="s">
        <v>35</v>
      </c>
      <c r="L4" s="35" t="s">
        <v>28</v>
      </c>
      <c r="M4" s="35" t="s">
        <v>19</v>
      </c>
      <c r="N4" s="36" t="s">
        <v>15</v>
      </c>
    </row>
    <row r="5" spans="1:14" ht="15">
      <c r="A5" s="7" t="str">
        <f>"prostěradlo"</f>
        <v>prostěradlo</v>
      </c>
      <c r="B5" s="8"/>
      <c r="C5" s="97"/>
      <c r="D5" s="98"/>
      <c r="E5" s="99"/>
      <c r="F5" s="99"/>
      <c r="G5" s="15">
        <f aca="true" t="shared" si="0" ref="G5:G48">D5*0.21</f>
        <v>0</v>
      </c>
      <c r="H5" s="15">
        <f aca="true" t="shared" si="1" ref="H5:H48">ROUND(D5+G5,2)</f>
        <v>0</v>
      </c>
      <c r="I5" s="108">
        <v>30953</v>
      </c>
      <c r="J5" s="16">
        <f aca="true" t="shared" si="2" ref="J5:J48">D5*I5</f>
        <v>0</v>
      </c>
      <c r="K5" s="16">
        <f aca="true" t="shared" si="3" ref="K5:K48">+I5*E5</f>
        <v>0</v>
      </c>
      <c r="L5" s="16">
        <f aca="true" t="shared" si="4" ref="L5:L48">+I5*F5</f>
        <v>0</v>
      </c>
      <c r="M5" s="16">
        <f aca="true" t="shared" si="5" ref="M5:M48">J5*0.21</f>
        <v>0</v>
      </c>
      <c r="N5" s="17">
        <f aca="true" t="shared" si="6" ref="N5:N48">ROUND(J5+M5,2)</f>
        <v>0</v>
      </c>
    </row>
    <row r="6" spans="1:14" ht="15">
      <c r="A6" s="5" t="str">
        <f>"povlak polštáře"</f>
        <v>povlak polštáře</v>
      </c>
      <c r="B6" s="6"/>
      <c r="C6" s="100"/>
      <c r="D6" s="101"/>
      <c r="E6" s="102"/>
      <c r="F6" s="102"/>
      <c r="G6" s="13">
        <f t="shared" si="0"/>
        <v>0</v>
      </c>
      <c r="H6" s="13">
        <f t="shared" si="1"/>
        <v>0</v>
      </c>
      <c r="I6" s="107">
        <v>31406</v>
      </c>
      <c r="J6" s="14">
        <f t="shared" si="2"/>
        <v>0</v>
      </c>
      <c r="K6" s="14">
        <f t="shared" si="3"/>
        <v>0</v>
      </c>
      <c r="L6" s="14">
        <f t="shared" si="4"/>
        <v>0</v>
      </c>
      <c r="M6" s="14">
        <f t="shared" si="5"/>
        <v>0</v>
      </c>
      <c r="N6" s="18">
        <f t="shared" si="6"/>
        <v>0</v>
      </c>
    </row>
    <row r="7" spans="1:14" ht="15">
      <c r="A7" s="5" t="str">
        <f>"povlak polštáře malý"</f>
        <v>povlak polštáře malý</v>
      </c>
      <c r="B7" s="6"/>
      <c r="C7" s="100"/>
      <c r="D7" s="101"/>
      <c r="E7" s="102"/>
      <c r="F7" s="102"/>
      <c r="G7" s="13">
        <f t="shared" si="0"/>
        <v>0</v>
      </c>
      <c r="H7" s="13">
        <f t="shared" si="1"/>
        <v>0</v>
      </c>
      <c r="I7" s="107">
        <v>439</v>
      </c>
      <c r="J7" s="14">
        <f t="shared" si="2"/>
        <v>0</v>
      </c>
      <c r="K7" s="14">
        <f t="shared" si="3"/>
        <v>0</v>
      </c>
      <c r="L7" s="14">
        <f t="shared" si="4"/>
        <v>0</v>
      </c>
      <c r="M7" s="14">
        <f t="shared" si="5"/>
        <v>0</v>
      </c>
      <c r="N7" s="18">
        <f t="shared" si="6"/>
        <v>0</v>
      </c>
    </row>
    <row r="8" spans="1:14" ht="15">
      <c r="A8" s="5" t="str">
        <f>"povlak přikrývky"</f>
        <v>povlak přikrývky</v>
      </c>
      <c r="B8" s="6"/>
      <c r="C8" s="100"/>
      <c r="D8" s="101"/>
      <c r="E8" s="102"/>
      <c r="F8" s="102"/>
      <c r="G8" s="13">
        <f t="shared" si="0"/>
        <v>0</v>
      </c>
      <c r="H8" s="13">
        <f t="shared" si="1"/>
        <v>0</v>
      </c>
      <c r="I8" s="107">
        <v>31819</v>
      </c>
      <c r="J8" s="14">
        <f t="shared" si="2"/>
        <v>0</v>
      </c>
      <c r="K8" s="14">
        <f t="shared" si="3"/>
        <v>0</v>
      </c>
      <c r="L8" s="14">
        <f t="shared" si="4"/>
        <v>0</v>
      </c>
      <c r="M8" s="14">
        <f t="shared" si="5"/>
        <v>0</v>
      </c>
      <c r="N8" s="18">
        <f t="shared" si="6"/>
        <v>0</v>
      </c>
    </row>
    <row r="9" spans="1:14" ht="15">
      <c r="A9" s="5" t="str">
        <f>"podložka"</f>
        <v>podložka</v>
      </c>
      <c r="B9" s="6"/>
      <c r="C9" s="100"/>
      <c r="D9" s="101"/>
      <c r="E9" s="102"/>
      <c r="F9" s="102"/>
      <c r="G9" s="13">
        <f t="shared" si="0"/>
        <v>0</v>
      </c>
      <c r="H9" s="13">
        <f t="shared" si="1"/>
        <v>0</v>
      </c>
      <c r="I9" s="107">
        <v>31678</v>
      </c>
      <c r="J9" s="14">
        <f t="shared" si="2"/>
        <v>0</v>
      </c>
      <c r="K9" s="14">
        <f t="shared" si="3"/>
        <v>0</v>
      </c>
      <c r="L9" s="14">
        <f t="shared" si="4"/>
        <v>0</v>
      </c>
      <c r="M9" s="14">
        <f t="shared" si="5"/>
        <v>0</v>
      </c>
      <c r="N9" s="18">
        <f t="shared" si="6"/>
        <v>0</v>
      </c>
    </row>
    <row r="10" spans="1:14" ht="15">
      <c r="A10" s="5" t="str">
        <f>"rouška malá 90x90"</f>
        <v>rouška malá 90x90</v>
      </c>
      <c r="B10" s="6"/>
      <c r="C10" s="100"/>
      <c r="D10" s="101"/>
      <c r="E10" s="102"/>
      <c r="F10" s="102"/>
      <c r="G10" s="13">
        <f t="shared" si="0"/>
        <v>0</v>
      </c>
      <c r="H10" s="13">
        <f t="shared" si="1"/>
        <v>0</v>
      </c>
      <c r="I10" s="107">
        <v>2737</v>
      </c>
      <c r="J10" s="14">
        <f t="shared" si="2"/>
        <v>0</v>
      </c>
      <c r="K10" s="14">
        <f t="shared" si="3"/>
        <v>0</v>
      </c>
      <c r="L10" s="14">
        <f t="shared" si="4"/>
        <v>0</v>
      </c>
      <c r="M10" s="14">
        <f t="shared" si="5"/>
        <v>0</v>
      </c>
      <c r="N10" s="18">
        <f t="shared" si="6"/>
        <v>0</v>
      </c>
    </row>
    <row r="11" spans="1:14" ht="15">
      <c r="A11" s="77" t="str">
        <f>"rouška malá 90x90 perf."</f>
        <v>rouška malá 90x90 perf.</v>
      </c>
      <c r="B11" s="78"/>
      <c r="C11" s="100"/>
      <c r="D11" s="101"/>
      <c r="E11" s="102"/>
      <c r="F11" s="102"/>
      <c r="G11" s="79">
        <f t="shared" si="0"/>
        <v>0</v>
      </c>
      <c r="H11" s="79">
        <f t="shared" si="1"/>
        <v>0</v>
      </c>
      <c r="I11" s="112">
        <v>206</v>
      </c>
      <c r="J11" s="80">
        <f t="shared" si="2"/>
        <v>0</v>
      </c>
      <c r="K11" s="80">
        <f t="shared" si="3"/>
        <v>0</v>
      </c>
      <c r="L11" s="80">
        <f t="shared" si="4"/>
        <v>0</v>
      </c>
      <c r="M11" s="80">
        <f t="shared" si="5"/>
        <v>0</v>
      </c>
      <c r="N11" s="81">
        <f t="shared" si="6"/>
        <v>0</v>
      </c>
    </row>
    <row r="12" spans="1:14" ht="15">
      <c r="A12" s="77" t="str">
        <f>"rouška střední 110x140"</f>
        <v>rouška střední 110x140</v>
      </c>
      <c r="B12" s="78"/>
      <c r="C12" s="100"/>
      <c r="D12" s="101"/>
      <c r="E12" s="102"/>
      <c r="F12" s="102"/>
      <c r="G12" s="79">
        <f t="shared" si="0"/>
        <v>0</v>
      </c>
      <c r="H12" s="79">
        <f t="shared" si="1"/>
        <v>0</v>
      </c>
      <c r="I12" s="112">
        <v>935</v>
      </c>
      <c r="J12" s="80">
        <f t="shared" si="2"/>
        <v>0</v>
      </c>
      <c r="K12" s="80">
        <f t="shared" si="3"/>
        <v>0</v>
      </c>
      <c r="L12" s="80">
        <f t="shared" si="4"/>
        <v>0</v>
      </c>
      <c r="M12" s="80">
        <f t="shared" si="5"/>
        <v>0</v>
      </c>
      <c r="N12" s="81">
        <f t="shared" si="6"/>
        <v>0</v>
      </c>
    </row>
    <row r="13" spans="1:14" ht="15">
      <c r="A13" s="77" t="str">
        <f>"rouška velká 140x170"</f>
        <v>rouška velká 140x170</v>
      </c>
      <c r="B13" s="78"/>
      <c r="C13" s="100"/>
      <c r="D13" s="101"/>
      <c r="E13" s="102"/>
      <c r="F13" s="102"/>
      <c r="G13" s="79">
        <f t="shared" si="0"/>
        <v>0</v>
      </c>
      <c r="H13" s="79">
        <f t="shared" si="1"/>
        <v>0</v>
      </c>
      <c r="I13" s="112">
        <v>1152</v>
      </c>
      <c r="J13" s="80">
        <f t="shared" si="2"/>
        <v>0</v>
      </c>
      <c r="K13" s="80">
        <f t="shared" si="3"/>
        <v>0</v>
      </c>
      <c r="L13" s="80">
        <f t="shared" si="4"/>
        <v>0</v>
      </c>
      <c r="M13" s="80">
        <f t="shared" si="5"/>
        <v>0</v>
      </c>
      <c r="N13" s="81">
        <f t="shared" si="6"/>
        <v>0</v>
      </c>
    </row>
    <row r="14" spans="1:14" ht="15">
      <c r="A14" s="77" t="str">
        <f>"halena operační"</f>
        <v>halena operační</v>
      </c>
      <c r="B14" s="78" t="str">
        <f>"modrá "</f>
        <v xml:space="preserve">modrá </v>
      </c>
      <c r="C14" s="100"/>
      <c r="D14" s="101"/>
      <c r="E14" s="102"/>
      <c r="F14" s="102"/>
      <c r="G14" s="79">
        <f aca="true" t="shared" si="7" ref="G14:G18">D14*0.21</f>
        <v>0</v>
      </c>
      <c r="H14" s="79">
        <f aca="true" t="shared" si="8" ref="H14:H18">ROUND(D14+G14,2)</f>
        <v>0</v>
      </c>
      <c r="I14" s="112">
        <v>20698</v>
      </c>
      <c r="J14" s="80">
        <f aca="true" t="shared" si="9" ref="J14:J18">D14*I14</f>
        <v>0</v>
      </c>
      <c r="K14" s="80">
        <f aca="true" t="shared" si="10" ref="K14:K18">+I14*E14</f>
        <v>0</v>
      </c>
      <c r="L14" s="80">
        <f aca="true" t="shared" si="11" ref="L14:L18">+I14*F14</f>
        <v>0</v>
      </c>
      <c r="M14" s="80">
        <f aca="true" t="shared" si="12" ref="M14:M18">J14*0.21</f>
        <v>0</v>
      </c>
      <c r="N14" s="81">
        <f aca="true" t="shared" si="13" ref="N14:N18">ROUND(J14+M14,2)</f>
        <v>0</v>
      </c>
    </row>
    <row r="15" spans="1:14" s="117" customFormat="1" ht="15">
      <c r="A15" s="77" t="s">
        <v>63</v>
      </c>
      <c r="B15" s="78"/>
      <c r="C15" s="100"/>
      <c r="D15" s="101"/>
      <c r="E15" s="102"/>
      <c r="F15" s="102"/>
      <c r="G15" s="79">
        <f t="shared" si="7"/>
        <v>0</v>
      </c>
      <c r="H15" s="79">
        <f t="shared" si="8"/>
        <v>0</v>
      </c>
      <c r="I15" s="112">
        <v>500</v>
      </c>
      <c r="J15" s="80">
        <f t="shared" si="9"/>
        <v>0</v>
      </c>
      <c r="K15" s="80">
        <f t="shared" si="10"/>
        <v>0</v>
      </c>
      <c r="L15" s="80">
        <f t="shared" si="11"/>
        <v>0</v>
      </c>
      <c r="M15" s="80">
        <f t="shared" si="12"/>
        <v>0</v>
      </c>
      <c r="N15" s="81">
        <f t="shared" si="13"/>
        <v>0</v>
      </c>
    </row>
    <row r="16" spans="1:14" ht="15">
      <c r="A16" s="77" t="str">
        <f>"kalhoty operační"</f>
        <v>kalhoty operační</v>
      </c>
      <c r="B16" s="78" t="s">
        <v>6</v>
      </c>
      <c r="C16" s="100"/>
      <c r="D16" s="101"/>
      <c r="E16" s="102"/>
      <c r="F16" s="102"/>
      <c r="G16" s="79">
        <f t="shared" si="7"/>
        <v>0</v>
      </c>
      <c r="H16" s="79">
        <f t="shared" si="8"/>
        <v>0</v>
      </c>
      <c r="I16" s="112">
        <v>18934</v>
      </c>
      <c r="J16" s="80">
        <f t="shared" si="9"/>
        <v>0</v>
      </c>
      <c r="K16" s="80">
        <f t="shared" si="10"/>
        <v>0</v>
      </c>
      <c r="L16" s="80">
        <f t="shared" si="11"/>
        <v>0</v>
      </c>
      <c r="M16" s="80">
        <f t="shared" si="12"/>
        <v>0</v>
      </c>
      <c r="N16" s="81">
        <f t="shared" si="13"/>
        <v>0</v>
      </c>
    </row>
    <row r="17" spans="1:14" s="117" customFormat="1" ht="15">
      <c r="A17" s="77" t="s">
        <v>64</v>
      </c>
      <c r="B17" s="78"/>
      <c r="C17" s="100"/>
      <c r="D17" s="101"/>
      <c r="E17" s="102"/>
      <c r="F17" s="102"/>
      <c r="G17" s="79">
        <f t="shared" si="7"/>
        <v>0</v>
      </c>
      <c r="H17" s="79">
        <f t="shared" si="8"/>
        <v>0</v>
      </c>
      <c r="I17" s="112">
        <v>500</v>
      </c>
      <c r="J17" s="80">
        <f t="shared" si="9"/>
        <v>0</v>
      </c>
      <c r="K17" s="80">
        <f t="shared" si="10"/>
        <v>0</v>
      </c>
      <c r="L17" s="80">
        <f t="shared" si="11"/>
        <v>0</v>
      </c>
      <c r="M17" s="80">
        <f t="shared" si="12"/>
        <v>0</v>
      </c>
      <c r="N17" s="81">
        <f t="shared" si="13"/>
        <v>0</v>
      </c>
    </row>
    <row r="18" spans="1:14" s="117" customFormat="1" ht="15">
      <c r="A18" s="77" t="s">
        <v>65</v>
      </c>
      <c r="B18" s="78"/>
      <c r="C18" s="100"/>
      <c r="D18" s="101"/>
      <c r="E18" s="102"/>
      <c r="F18" s="102"/>
      <c r="G18" s="79">
        <f t="shared" si="7"/>
        <v>0</v>
      </c>
      <c r="H18" s="79">
        <f t="shared" si="8"/>
        <v>0</v>
      </c>
      <c r="I18" s="112">
        <v>500</v>
      </c>
      <c r="J18" s="80">
        <f t="shared" si="9"/>
        <v>0</v>
      </c>
      <c r="K18" s="80">
        <f t="shared" si="10"/>
        <v>0</v>
      </c>
      <c r="L18" s="80">
        <f t="shared" si="11"/>
        <v>0</v>
      </c>
      <c r="M18" s="80">
        <f t="shared" si="12"/>
        <v>0</v>
      </c>
      <c r="N18" s="81">
        <f t="shared" si="13"/>
        <v>0</v>
      </c>
    </row>
    <row r="19" spans="1:14" ht="15">
      <c r="A19" s="77" t="str">
        <f>"pyžamový kabátek dětský"</f>
        <v>pyžamový kabátek dětský</v>
      </c>
      <c r="B19" s="78"/>
      <c r="C19" s="100"/>
      <c r="D19" s="101"/>
      <c r="E19" s="102"/>
      <c r="F19" s="102"/>
      <c r="G19" s="79">
        <f t="shared" si="0"/>
        <v>0</v>
      </c>
      <c r="H19" s="79">
        <f t="shared" si="1"/>
        <v>0</v>
      </c>
      <c r="I19" s="112">
        <v>470</v>
      </c>
      <c r="J19" s="80">
        <f t="shared" si="2"/>
        <v>0</v>
      </c>
      <c r="K19" s="80">
        <f t="shared" si="3"/>
        <v>0</v>
      </c>
      <c r="L19" s="80">
        <f t="shared" si="4"/>
        <v>0</v>
      </c>
      <c r="M19" s="80">
        <f t="shared" si="5"/>
        <v>0</v>
      </c>
      <c r="N19" s="81">
        <f t="shared" si="6"/>
        <v>0</v>
      </c>
    </row>
    <row r="20" spans="1:14" ht="15">
      <c r="A20" s="77" t="str">
        <f>"pyžamové kalhoty dětské"</f>
        <v>pyžamové kalhoty dětské</v>
      </c>
      <c r="B20" s="78"/>
      <c r="C20" s="100"/>
      <c r="D20" s="101"/>
      <c r="E20" s="102"/>
      <c r="F20" s="102"/>
      <c r="G20" s="79">
        <f t="shared" si="0"/>
        <v>0</v>
      </c>
      <c r="H20" s="79">
        <f t="shared" si="1"/>
        <v>0</v>
      </c>
      <c r="I20" s="112">
        <v>408</v>
      </c>
      <c r="J20" s="80">
        <f t="shared" si="2"/>
        <v>0</v>
      </c>
      <c r="K20" s="80">
        <f t="shared" si="3"/>
        <v>0</v>
      </c>
      <c r="L20" s="80">
        <f t="shared" si="4"/>
        <v>0</v>
      </c>
      <c r="M20" s="80">
        <f t="shared" si="5"/>
        <v>0</v>
      </c>
      <c r="N20" s="81">
        <f t="shared" si="6"/>
        <v>0</v>
      </c>
    </row>
    <row r="21" spans="1:14" ht="15">
      <c r="A21" s="77" t="str">
        <f>"košilka denní dětská"</f>
        <v>košilka denní dětská</v>
      </c>
      <c r="B21" s="78"/>
      <c r="C21" s="100"/>
      <c r="D21" s="101"/>
      <c r="E21" s="102"/>
      <c r="F21" s="102"/>
      <c r="G21" s="79">
        <f t="shared" si="0"/>
        <v>0</v>
      </c>
      <c r="H21" s="79">
        <f t="shared" si="1"/>
        <v>0</v>
      </c>
      <c r="I21" s="112">
        <v>28</v>
      </c>
      <c r="J21" s="80">
        <f t="shared" si="2"/>
        <v>0</v>
      </c>
      <c r="K21" s="80">
        <f t="shared" si="3"/>
        <v>0</v>
      </c>
      <c r="L21" s="80">
        <f t="shared" si="4"/>
        <v>0</v>
      </c>
      <c r="M21" s="80">
        <f t="shared" si="5"/>
        <v>0</v>
      </c>
      <c r="N21" s="81">
        <f t="shared" si="6"/>
        <v>0</v>
      </c>
    </row>
    <row r="22" spans="1:14" ht="15">
      <c r="A22" s="77" t="str">
        <f>"dupačky"</f>
        <v>dupačky</v>
      </c>
      <c r="B22" s="78"/>
      <c r="C22" s="100"/>
      <c r="D22" s="101"/>
      <c r="E22" s="102"/>
      <c r="F22" s="102"/>
      <c r="G22" s="79">
        <f t="shared" si="0"/>
        <v>0</v>
      </c>
      <c r="H22" s="79">
        <f t="shared" si="1"/>
        <v>0</v>
      </c>
      <c r="I22" s="112">
        <v>22</v>
      </c>
      <c r="J22" s="80">
        <f t="shared" si="2"/>
        <v>0</v>
      </c>
      <c r="K22" s="80">
        <f t="shared" si="3"/>
        <v>0</v>
      </c>
      <c r="L22" s="80">
        <f t="shared" si="4"/>
        <v>0</v>
      </c>
      <c r="M22" s="80">
        <f t="shared" si="5"/>
        <v>0</v>
      </c>
      <c r="N22" s="81">
        <f t="shared" si="6"/>
        <v>0</v>
      </c>
    </row>
    <row r="23" spans="1:14" ht="15">
      <c r="A23" s="77" t="str">
        <f>"kabátek pyžamový"</f>
        <v>kabátek pyžamový</v>
      </c>
      <c r="B23" s="78"/>
      <c r="C23" s="100"/>
      <c r="D23" s="101"/>
      <c r="E23" s="102"/>
      <c r="F23" s="102"/>
      <c r="G23" s="79">
        <f t="shared" si="0"/>
        <v>0</v>
      </c>
      <c r="H23" s="79">
        <f t="shared" si="1"/>
        <v>0</v>
      </c>
      <c r="I23" s="112">
        <v>2839</v>
      </c>
      <c r="J23" s="80">
        <f t="shared" si="2"/>
        <v>0</v>
      </c>
      <c r="K23" s="80">
        <f t="shared" si="3"/>
        <v>0</v>
      </c>
      <c r="L23" s="80">
        <f t="shared" si="4"/>
        <v>0</v>
      </c>
      <c r="M23" s="80">
        <f t="shared" si="5"/>
        <v>0</v>
      </c>
      <c r="N23" s="81">
        <f t="shared" si="6"/>
        <v>0</v>
      </c>
    </row>
    <row r="24" spans="1:14" ht="15">
      <c r="A24" s="77" t="str">
        <f>"kalhoty pyžamové"</f>
        <v>kalhoty pyžamové</v>
      </c>
      <c r="B24" s="78"/>
      <c r="C24" s="100"/>
      <c r="D24" s="101"/>
      <c r="E24" s="102"/>
      <c r="F24" s="102"/>
      <c r="G24" s="79">
        <f t="shared" si="0"/>
        <v>0</v>
      </c>
      <c r="H24" s="79">
        <f t="shared" si="1"/>
        <v>0</v>
      </c>
      <c r="I24" s="112">
        <v>2522</v>
      </c>
      <c r="J24" s="80">
        <f t="shared" si="2"/>
        <v>0</v>
      </c>
      <c r="K24" s="80">
        <f t="shared" si="3"/>
        <v>0</v>
      </c>
      <c r="L24" s="80">
        <f t="shared" si="4"/>
        <v>0</v>
      </c>
      <c r="M24" s="80">
        <f t="shared" si="5"/>
        <v>0</v>
      </c>
      <c r="N24" s="81">
        <f t="shared" si="6"/>
        <v>0</v>
      </c>
    </row>
    <row r="25" spans="1:14" ht="15">
      <c r="A25" s="77" t="str">
        <f>"košile noční"</f>
        <v>košile noční</v>
      </c>
      <c r="B25" s="78"/>
      <c r="C25" s="100"/>
      <c r="D25" s="101"/>
      <c r="E25" s="102"/>
      <c r="F25" s="102"/>
      <c r="G25" s="79">
        <f t="shared" si="0"/>
        <v>0</v>
      </c>
      <c r="H25" s="79">
        <f t="shared" si="1"/>
        <v>0</v>
      </c>
      <c r="I25" s="112">
        <v>4875</v>
      </c>
      <c r="J25" s="80">
        <f t="shared" si="2"/>
        <v>0</v>
      </c>
      <c r="K25" s="80">
        <f t="shared" si="3"/>
        <v>0</v>
      </c>
      <c r="L25" s="80">
        <f t="shared" si="4"/>
        <v>0</v>
      </c>
      <c r="M25" s="80">
        <f t="shared" si="5"/>
        <v>0</v>
      </c>
      <c r="N25" s="81">
        <f t="shared" si="6"/>
        <v>0</v>
      </c>
    </row>
    <row r="26" spans="1:14" ht="15">
      <c r="A26" s="77" t="str">
        <f>"košile noční Anděl"</f>
        <v>košile noční Anděl</v>
      </c>
      <c r="B26" s="78"/>
      <c r="C26" s="100"/>
      <c r="D26" s="101"/>
      <c r="E26" s="102"/>
      <c r="F26" s="102"/>
      <c r="G26" s="79">
        <f t="shared" si="0"/>
        <v>0</v>
      </c>
      <c r="H26" s="79">
        <f t="shared" si="1"/>
        <v>0</v>
      </c>
      <c r="I26" s="112">
        <v>16591</v>
      </c>
      <c r="J26" s="80">
        <f t="shared" si="2"/>
        <v>0</v>
      </c>
      <c r="K26" s="80">
        <f t="shared" si="3"/>
        <v>0</v>
      </c>
      <c r="L26" s="80">
        <f t="shared" si="4"/>
        <v>0</v>
      </c>
      <c r="M26" s="80">
        <f t="shared" si="5"/>
        <v>0</v>
      </c>
      <c r="N26" s="81">
        <f t="shared" si="6"/>
        <v>0</v>
      </c>
    </row>
    <row r="27" spans="1:14" ht="15">
      <c r="A27" s="77" t="str">
        <f>"župan"</f>
        <v>župan</v>
      </c>
      <c r="B27" s="78"/>
      <c r="C27" s="100"/>
      <c r="D27" s="101"/>
      <c r="E27" s="102"/>
      <c r="F27" s="102"/>
      <c r="G27" s="79">
        <f t="shared" si="0"/>
        <v>0</v>
      </c>
      <c r="H27" s="79">
        <f t="shared" si="1"/>
        <v>0</v>
      </c>
      <c r="I27" s="112">
        <v>161</v>
      </c>
      <c r="J27" s="80">
        <f t="shared" si="2"/>
        <v>0</v>
      </c>
      <c r="K27" s="80">
        <f t="shared" si="3"/>
        <v>0</v>
      </c>
      <c r="L27" s="80">
        <f t="shared" si="4"/>
        <v>0</v>
      </c>
      <c r="M27" s="80">
        <f t="shared" si="5"/>
        <v>0</v>
      </c>
      <c r="N27" s="81">
        <f t="shared" si="6"/>
        <v>0</v>
      </c>
    </row>
    <row r="28" spans="1:14" ht="15">
      <c r="A28" s="77" t="str">
        <f>"ručník"</f>
        <v>ručník</v>
      </c>
      <c r="B28" s="78"/>
      <c r="C28" s="100"/>
      <c r="D28" s="101"/>
      <c r="E28" s="102"/>
      <c r="F28" s="102"/>
      <c r="G28" s="79">
        <f t="shared" si="0"/>
        <v>0</v>
      </c>
      <c r="H28" s="79">
        <f t="shared" si="1"/>
        <v>0</v>
      </c>
      <c r="I28" s="112">
        <v>11371</v>
      </c>
      <c r="J28" s="80">
        <f t="shared" si="2"/>
        <v>0</v>
      </c>
      <c r="K28" s="80">
        <f t="shared" si="3"/>
        <v>0</v>
      </c>
      <c r="L28" s="80">
        <f t="shared" si="4"/>
        <v>0</v>
      </c>
      <c r="M28" s="80">
        <f t="shared" si="5"/>
        <v>0</v>
      </c>
      <c r="N28" s="81">
        <f t="shared" si="6"/>
        <v>0</v>
      </c>
    </row>
    <row r="29" spans="1:14" ht="15">
      <c r="A29" s="77" t="str">
        <f>"ručník froté"</f>
        <v>ručník froté</v>
      </c>
      <c r="B29" s="78"/>
      <c r="C29" s="100"/>
      <c r="D29" s="101"/>
      <c r="E29" s="102"/>
      <c r="F29" s="102"/>
      <c r="G29" s="79">
        <f t="shared" si="0"/>
        <v>0</v>
      </c>
      <c r="H29" s="79">
        <f t="shared" si="1"/>
        <v>0</v>
      </c>
      <c r="I29" s="112">
        <v>12638</v>
      </c>
      <c r="J29" s="80">
        <f t="shared" si="2"/>
        <v>0</v>
      </c>
      <c r="K29" s="80">
        <f t="shared" si="3"/>
        <v>0</v>
      </c>
      <c r="L29" s="80">
        <f t="shared" si="4"/>
        <v>0</v>
      </c>
      <c r="M29" s="80">
        <f t="shared" si="5"/>
        <v>0</v>
      </c>
      <c r="N29" s="81">
        <f t="shared" si="6"/>
        <v>0</v>
      </c>
    </row>
    <row r="30" spans="1:14" ht="15">
      <c r="A30" s="77" t="str">
        <f>"utěrka"</f>
        <v>utěrka</v>
      </c>
      <c r="B30" s="78"/>
      <c r="C30" s="100"/>
      <c r="D30" s="101"/>
      <c r="E30" s="102"/>
      <c r="F30" s="102"/>
      <c r="G30" s="79">
        <f t="shared" si="0"/>
        <v>0</v>
      </c>
      <c r="H30" s="79">
        <f t="shared" si="1"/>
        <v>0</v>
      </c>
      <c r="I30" s="112">
        <v>5749</v>
      </c>
      <c r="J30" s="80">
        <f t="shared" si="2"/>
        <v>0</v>
      </c>
      <c r="K30" s="80">
        <f t="shared" si="3"/>
        <v>0</v>
      </c>
      <c r="L30" s="80">
        <f t="shared" si="4"/>
        <v>0</v>
      </c>
      <c r="M30" s="80">
        <f t="shared" si="5"/>
        <v>0</v>
      </c>
      <c r="N30" s="81">
        <f t="shared" si="6"/>
        <v>0</v>
      </c>
    </row>
    <row r="31" spans="1:14" ht="15">
      <c r="A31" s="77" t="str">
        <f>"halena"</f>
        <v>halena</v>
      </c>
      <c r="B31" s="78" t="s">
        <v>3</v>
      </c>
      <c r="C31" s="100"/>
      <c r="D31" s="101"/>
      <c r="E31" s="102"/>
      <c r="F31" s="102"/>
      <c r="G31" s="79">
        <f t="shared" si="0"/>
        <v>0</v>
      </c>
      <c r="H31" s="79">
        <f t="shared" si="1"/>
        <v>0</v>
      </c>
      <c r="I31" s="112">
        <v>5454</v>
      </c>
      <c r="J31" s="80">
        <f t="shared" si="2"/>
        <v>0</v>
      </c>
      <c r="K31" s="80">
        <f t="shared" si="3"/>
        <v>0</v>
      </c>
      <c r="L31" s="80">
        <f t="shared" si="4"/>
        <v>0</v>
      </c>
      <c r="M31" s="80">
        <f t="shared" si="5"/>
        <v>0</v>
      </c>
      <c r="N31" s="81">
        <f t="shared" si="6"/>
        <v>0</v>
      </c>
    </row>
    <row r="32" spans="1:14" ht="15">
      <c r="A32" s="77" t="str">
        <f>"halena"</f>
        <v>halena</v>
      </c>
      <c r="B32" s="78" t="s">
        <v>37</v>
      </c>
      <c r="C32" s="100"/>
      <c r="D32" s="101"/>
      <c r="E32" s="102"/>
      <c r="F32" s="102"/>
      <c r="G32" s="79">
        <f t="shared" si="0"/>
        <v>0</v>
      </c>
      <c r="H32" s="79">
        <f t="shared" si="1"/>
        <v>0</v>
      </c>
      <c r="I32" s="112">
        <v>3608</v>
      </c>
      <c r="J32" s="80">
        <f t="shared" si="2"/>
        <v>0</v>
      </c>
      <c r="K32" s="80">
        <f t="shared" si="3"/>
        <v>0</v>
      </c>
      <c r="L32" s="80">
        <f t="shared" si="4"/>
        <v>0</v>
      </c>
      <c r="M32" s="80">
        <f t="shared" si="5"/>
        <v>0</v>
      </c>
      <c r="N32" s="81">
        <f t="shared" si="6"/>
        <v>0</v>
      </c>
    </row>
    <row r="33" spans="1:14" ht="15">
      <c r="A33" s="77" t="str">
        <f>"halena"</f>
        <v>halena</v>
      </c>
      <c r="B33" s="78" t="s">
        <v>38</v>
      </c>
      <c r="C33" s="100"/>
      <c r="D33" s="101"/>
      <c r="E33" s="102"/>
      <c r="F33" s="102"/>
      <c r="G33" s="79">
        <f t="shared" si="0"/>
        <v>0</v>
      </c>
      <c r="H33" s="79">
        <f t="shared" si="1"/>
        <v>0</v>
      </c>
      <c r="I33" s="112">
        <v>3724</v>
      </c>
      <c r="J33" s="80">
        <f t="shared" si="2"/>
        <v>0</v>
      </c>
      <c r="K33" s="80">
        <f t="shared" si="3"/>
        <v>0</v>
      </c>
      <c r="L33" s="80">
        <f t="shared" si="4"/>
        <v>0</v>
      </c>
      <c r="M33" s="80">
        <f t="shared" si="5"/>
        <v>0</v>
      </c>
      <c r="N33" s="81">
        <f t="shared" si="6"/>
        <v>0</v>
      </c>
    </row>
    <row r="34" spans="1:14" ht="15">
      <c r="A34" s="77" t="str">
        <f>"halena žlutý P"</f>
        <v>halena žlutý P</v>
      </c>
      <c r="B34" s="78" t="s">
        <v>3</v>
      </c>
      <c r="C34" s="100"/>
      <c r="D34" s="101"/>
      <c r="E34" s="102"/>
      <c r="F34" s="102"/>
      <c r="G34" s="79">
        <f t="shared" si="0"/>
        <v>0</v>
      </c>
      <c r="H34" s="79">
        <f t="shared" si="1"/>
        <v>0</v>
      </c>
      <c r="I34" s="112">
        <v>2821</v>
      </c>
      <c r="J34" s="80">
        <f t="shared" si="2"/>
        <v>0</v>
      </c>
      <c r="K34" s="80">
        <f t="shared" si="3"/>
        <v>0</v>
      </c>
      <c r="L34" s="80">
        <f t="shared" si="4"/>
        <v>0</v>
      </c>
      <c r="M34" s="80">
        <f t="shared" si="5"/>
        <v>0</v>
      </c>
      <c r="N34" s="81">
        <f t="shared" si="6"/>
        <v>0</v>
      </c>
    </row>
    <row r="35" spans="1:14" ht="15">
      <c r="A35" s="77" t="str">
        <f>"halena modrý P"</f>
        <v>halena modrý P</v>
      </c>
      <c r="B35" s="78" t="s">
        <v>3</v>
      </c>
      <c r="C35" s="100"/>
      <c r="D35" s="101"/>
      <c r="E35" s="102"/>
      <c r="F35" s="102"/>
      <c r="G35" s="79">
        <f t="shared" si="0"/>
        <v>0</v>
      </c>
      <c r="H35" s="79">
        <f t="shared" si="1"/>
        <v>0</v>
      </c>
      <c r="I35" s="112">
        <v>10672</v>
      </c>
      <c r="J35" s="80">
        <f t="shared" si="2"/>
        <v>0</v>
      </c>
      <c r="K35" s="80">
        <f t="shared" si="3"/>
        <v>0</v>
      </c>
      <c r="L35" s="80">
        <f t="shared" si="4"/>
        <v>0</v>
      </c>
      <c r="M35" s="80">
        <f t="shared" si="5"/>
        <v>0</v>
      </c>
      <c r="N35" s="81">
        <f t="shared" si="6"/>
        <v>0</v>
      </c>
    </row>
    <row r="36" spans="1:14" ht="15">
      <c r="A36" s="77" t="str">
        <f>"košile (halena s límcem)"</f>
        <v>košile (halena s límcem)</v>
      </c>
      <c r="B36" s="78" t="s">
        <v>3</v>
      </c>
      <c r="C36" s="100"/>
      <c r="D36" s="101"/>
      <c r="E36" s="102"/>
      <c r="F36" s="102"/>
      <c r="G36" s="79">
        <f t="shared" si="0"/>
        <v>0</v>
      </c>
      <c r="H36" s="79">
        <f t="shared" si="1"/>
        <v>0</v>
      </c>
      <c r="I36" s="112">
        <v>3199</v>
      </c>
      <c r="J36" s="80">
        <f t="shared" si="2"/>
        <v>0</v>
      </c>
      <c r="K36" s="80">
        <f t="shared" si="3"/>
        <v>0</v>
      </c>
      <c r="L36" s="80">
        <f t="shared" si="4"/>
        <v>0</v>
      </c>
      <c r="M36" s="80">
        <f t="shared" si="5"/>
        <v>0</v>
      </c>
      <c r="N36" s="81">
        <f t="shared" si="6"/>
        <v>0</v>
      </c>
    </row>
    <row r="37" spans="1:18" ht="15">
      <c r="A37" s="77" t="str">
        <f aca="true" t="shared" si="14" ref="A37:A39">"kalhoty"</f>
        <v>kalhoty</v>
      </c>
      <c r="B37" s="78" t="s">
        <v>9</v>
      </c>
      <c r="C37" s="100"/>
      <c r="D37" s="101"/>
      <c r="E37" s="102"/>
      <c r="F37" s="102"/>
      <c r="G37" s="79">
        <f t="shared" si="0"/>
        <v>0</v>
      </c>
      <c r="H37" s="79">
        <f t="shared" si="1"/>
        <v>0</v>
      </c>
      <c r="I37" s="112">
        <v>25250</v>
      </c>
      <c r="J37" s="80">
        <f t="shared" si="2"/>
        <v>0</v>
      </c>
      <c r="K37" s="80">
        <f t="shared" si="3"/>
        <v>0</v>
      </c>
      <c r="L37" s="80">
        <f t="shared" si="4"/>
        <v>0</v>
      </c>
      <c r="M37" s="80">
        <f t="shared" si="5"/>
        <v>0</v>
      </c>
      <c r="N37" s="81">
        <f t="shared" si="6"/>
        <v>0</v>
      </c>
      <c r="Q37" s="30"/>
      <c r="R37" s="76"/>
    </row>
    <row r="38" spans="1:18" ht="15">
      <c r="A38" s="77" t="str">
        <f t="shared" si="14"/>
        <v>kalhoty</v>
      </c>
      <c r="B38" s="78" t="str">
        <f>"žluté "</f>
        <v xml:space="preserve">žluté </v>
      </c>
      <c r="C38" s="100"/>
      <c r="D38" s="101"/>
      <c r="E38" s="102"/>
      <c r="F38" s="102"/>
      <c r="G38" s="79">
        <f t="shared" si="0"/>
        <v>0</v>
      </c>
      <c r="H38" s="79">
        <f t="shared" si="1"/>
        <v>0</v>
      </c>
      <c r="I38" s="112">
        <v>1532</v>
      </c>
      <c r="J38" s="80">
        <f t="shared" si="2"/>
        <v>0</v>
      </c>
      <c r="K38" s="80">
        <f t="shared" si="3"/>
        <v>0</v>
      </c>
      <c r="L38" s="80">
        <f t="shared" si="4"/>
        <v>0</v>
      </c>
      <c r="M38" s="80">
        <f t="shared" si="5"/>
        <v>0</v>
      </c>
      <c r="N38" s="81">
        <f t="shared" si="6"/>
        <v>0</v>
      </c>
      <c r="Q38" s="30"/>
      <c r="R38" s="76"/>
    </row>
    <row r="39" spans="1:18" ht="15">
      <c r="A39" s="77" t="str">
        <f t="shared" si="14"/>
        <v>kalhoty</v>
      </c>
      <c r="B39" s="78" t="str">
        <f>"fialové "</f>
        <v xml:space="preserve">fialové </v>
      </c>
      <c r="C39" s="100"/>
      <c r="D39" s="101"/>
      <c r="E39" s="102"/>
      <c r="F39" s="102"/>
      <c r="G39" s="79">
        <f t="shared" si="0"/>
        <v>0</v>
      </c>
      <c r="H39" s="79">
        <f t="shared" si="1"/>
        <v>0</v>
      </c>
      <c r="I39" s="112">
        <v>3092</v>
      </c>
      <c r="J39" s="80">
        <f t="shared" si="2"/>
        <v>0</v>
      </c>
      <c r="K39" s="80">
        <f t="shared" si="3"/>
        <v>0</v>
      </c>
      <c r="L39" s="80">
        <f t="shared" si="4"/>
        <v>0</v>
      </c>
      <c r="M39" s="80">
        <f t="shared" si="5"/>
        <v>0</v>
      </c>
      <c r="N39" s="81">
        <f t="shared" si="6"/>
        <v>0</v>
      </c>
      <c r="Q39" s="30"/>
      <c r="R39" s="76"/>
    </row>
    <row r="40" spans="1:14" ht="15">
      <c r="A40" s="77" t="str">
        <f>"plášť"</f>
        <v>plášť</v>
      </c>
      <c r="B40" s="78" t="s">
        <v>7</v>
      </c>
      <c r="C40" s="100"/>
      <c r="D40" s="101"/>
      <c r="E40" s="102"/>
      <c r="F40" s="102"/>
      <c r="G40" s="79">
        <f t="shared" si="0"/>
        <v>0</v>
      </c>
      <c r="H40" s="79">
        <f t="shared" si="1"/>
        <v>0</v>
      </c>
      <c r="I40" s="112">
        <v>562</v>
      </c>
      <c r="J40" s="80">
        <f t="shared" si="2"/>
        <v>0</v>
      </c>
      <c r="K40" s="80">
        <f t="shared" si="3"/>
        <v>0</v>
      </c>
      <c r="L40" s="80">
        <f t="shared" si="4"/>
        <v>0</v>
      </c>
      <c r="M40" s="80">
        <f t="shared" si="5"/>
        <v>0</v>
      </c>
      <c r="N40" s="81">
        <f t="shared" si="6"/>
        <v>0</v>
      </c>
    </row>
    <row r="41" spans="1:14" ht="15">
      <c r="A41" s="77" t="str">
        <f>"sukně"</f>
        <v>sukně</v>
      </c>
      <c r="B41" s="78" t="s">
        <v>8</v>
      </c>
      <c r="C41" s="100"/>
      <c r="D41" s="101"/>
      <c r="E41" s="102"/>
      <c r="F41" s="102"/>
      <c r="G41" s="79">
        <f t="shared" si="0"/>
        <v>0</v>
      </c>
      <c r="H41" s="79">
        <f t="shared" si="1"/>
        <v>0</v>
      </c>
      <c r="I41" s="112">
        <v>234</v>
      </c>
      <c r="J41" s="80">
        <f t="shared" si="2"/>
        <v>0</v>
      </c>
      <c r="K41" s="80">
        <f t="shared" si="3"/>
        <v>0</v>
      </c>
      <c r="L41" s="80">
        <f t="shared" si="4"/>
        <v>0</v>
      </c>
      <c r="M41" s="80">
        <f t="shared" si="5"/>
        <v>0</v>
      </c>
      <c r="N41" s="81">
        <f t="shared" si="6"/>
        <v>0</v>
      </c>
    </row>
    <row r="42" spans="1:14" ht="15">
      <c r="A42" s="77" t="str">
        <f>"sukně"</f>
        <v>sukně</v>
      </c>
      <c r="B42" s="78" t="s">
        <v>37</v>
      </c>
      <c r="C42" s="100"/>
      <c r="D42" s="101"/>
      <c r="E42" s="102"/>
      <c r="F42" s="102"/>
      <c r="G42" s="79">
        <f t="shared" si="0"/>
        <v>0</v>
      </c>
      <c r="H42" s="79">
        <f t="shared" si="1"/>
        <v>0</v>
      </c>
      <c r="I42" s="112">
        <v>5</v>
      </c>
      <c r="J42" s="80">
        <f t="shared" si="2"/>
        <v>0</v>
      </c>
      <c r="K42" s="80">
        <f t="shared" si="3"/>
        <v>0</v>
      </c>
      <c r="L42" s="80">
        <f t="shared" si="4"/>
        <v>0</v>
      </c>
      <c r="M42" s="80">
        <f t="shared" si="5"/>
        <v>0</v>
      </c>
      <c r="N42" s="81">
        <f t="shared" si="6"/>
        <v>0</v>
      </c>
    </row>
    <row r="43" spans="1:14" ht="15">
      <c r="A43" s="77" t="str">
        <f>"šortky"</f>
        <v>šortky</v>
      </c>
      <c r="B43" s="78" t="s">
        <v>9</v>
      </c>
      <c r="C43" s="100"/>
      <c r="D43" s="101"/>
      <c r="E43" s="102"/>
      <c r="F43" s="102"/>
      <c r="G43" s="79">
        <f t="shared" si="0"/>
        <v>0</v>
      </c>
      <c r="H43" s="79">
        <f t="shared" si="1"/>
        <v>0</v>
      </c>
      <c r="I43" s="112">
        <v>1360</v>
      </c>
      <c r="J43" s="80">
        <f t="shared" si="2"/>
        <v>0</v>
      </c>
      <c r="K43" s="80">
        <f t="shared" si="3"/>
        <v>0</v>
      </c>
      <c r="L43" s="80">
        <f t="shared" si="4"/>
        <v>0</v>
      </c>
      <c r="M43" s="80">
        <f t="shared" si="5"/>
        <v>0</v>
      </c>
      <c r="N43" s="81">
        <f t="shared" si="6"/>
        <v>0</v>
      </c>
    </row>
    <row r="44" spans="1:14" ht="15">
      <c r="A44" s="77" t="str">
        <f>"šortky"</f>
        <v>šortky</v>
      </c>
      <c r="B44" s="78" t="s">
        <v>10</v>
      </c>
      <c r="C44" s="100"/>
      <c r="D44" s="101"/>
      <c r="E44" s="102"/>
      <c r="F44" s="102"/>
      <c r="G44" s="79">
        <f t="shared" si="0"/>
        <v>0</v>
      </c>
      <c r="H44" s="79">
        <f t="shared" si="1"/>
        <v>0</v>
      </c>
      <c r="I44" s="112">
        <v>94</v>
      </c>
      <c r="J44" s="80">
        <f t="shared" si="2"/>
        <v>0</v>
      </c>
      <c r="K44" s="80">
        <f t="shared" si="3"/>
        <v>0</v>
      </c>
      <c r="L44" s="80">
        <f t="shared" si="4"/>
        <v>0</v>
      </c>
      <c r="M44" s="80">
        <f t="shared" si="5"/>
        <v>0</v>
      </c>
      <c r="N44" s="81">
        <f t="shared" si="6"/>
        <v>0</v>
      </c>
    </row>
    <row r="45" spans="1:14" ht="15">
      <c r="A45" s="77" t="str">
        <f>"šortky"</f>
        <v>šortky</v>
      </c>
      <c r="B45" s="78" t="s">
        <v>38</v>
      </c>
      <c r="C45" s="100"/>
      <c r="D45" s="101"/>
      <c r="E45" s="102"/>
      <c r="F45" s="102"/>
      <c r="G45" s="79">
        <f t="shared" si="0"/>
        <v>0</v>
      </c>
      <c r="H45" s="79">
        <f t="shared" si="1"/>
        <v>0</v>
      </c>
      <c r="I45" s="112">
        <v>179</v>
      </c>
      <c r="J45" s="80">
        <f t="shared" si="2"/>
        <v>0</v>
      </c>
      <c r="K45" s="80">
        <f t="shared" si="3"/>
        <v>0</v>
      </c>
      <c r="L45" s="80">
        <f t="shared" si="4"/>
        <v>0</v>
      </c>
      <c r="M45" s="80">
        <f t="shared" si="5"/>
        <v>0</v>
      </c>
      <c r="N45" s="81">
        <f t="shared" si="6"/>
        <v>0</v>
      </c>
    </row>
    <row r="46" spans="1:14" s="117" customFormat="1" ht="15">
      <c r="A46" s="77" t="s">
        <v>46</v>
      </c>
      <c r="B46" s="78"/>
      <c r="C46" s="100"/>
      <c r="D46" s="101"/>
      <c r="E46" s="102"/>
      <c r="F46" s="102"/>
      <c r="G46" s="79"/>
      <c r="H46" s="79"/>
      <c r="I46" s="112">
        <v>998</v>
      </c>
      <c r="J46" s="80">
        <f t="shared" si="2"/>
        <v>0</v>
      </c>
      <c r="K46" s="80">
        <f t="shared" si="3"/>
        <v>0</v>
      </c>
      <c r="L46" s="80">
        <f t="shared" si="4"/>
        <v>0</v>
      </c>
      <c r="M46" s="80">
        <f t="shared" si="5"/>
        <v>0</v>
      </c>
      <c r="N46" s="81">
        <f t="shared" si="6"/>
        <v>0</v>
      </c>
    </row>
    <row r="47" spans="1:14" ht="15">
      <c r="A47" s="77" t="str">
        <f>"halena bílá TÝDENNÍ SAZBA"</f>
        <v>halena bílá TÝDENNÍ SAZBA</v>
      </c>
      <c r="B47" s="78" t="str">
        <f>"kuchyně Cheb bílá "</f>
        <v xml:space="preserve">kuchyně Cheb bílá </v>
      </c>
      <c r="C47" s="100"/>
      <c r="D47" s="101"/>
      <c r="E47" s="102"/>
      <c r="F47" s="102"/>
      <c r="G47" s="79">
        <f t="shared" si="0"/>
        <v>0</v>
      </c>
      <c r="H47" s="79">
        <f t="shared" si="1"/>
        <v>0</v>
      </c>
      <c r="I47" s="112">
        <v>3630</v>
      </c>
      <c r="J47" s="80">
        <f t="shared" si="2"/>
        <v>0</v>
      </c>
      <c r="K47" s="80">
        <f t="shared" si="3"/>
        <v>0</v>
      </c>
      <c r="L47" s="80">
        <f t="shared" si="4"/>
        <v>0</v>
      </c>
      <c r="M47" s="80">
        <f t="shared" si="5"/>
        <v>0</v>
      </c>
      <c r="N47" s="81">
        <f t="shared" si="6"/>
        <v>0</v>
      </c>
    </row>
    <row r="48" spans="1:14" ht="15.75" thickBot="1">
      <c r="A48" s="82" t="str">
        <f>"kalhoty bílé TÝDENNÍ SAZBA"</f>
        <v>kalhoty bílé TÝDENNÍ SAZBA</v>
      </c>
      <c r="B48" s="83" t="str">
        <f>"kuchyně Cheb bílé "</f>
        <v xml:space="preserve">kuchyně Cheb bílé </v>
      </c>
      <c r="C48" s="66"/>
      <c r="D48" s="65"/>
      <c r="E48" s="103"/>
      <c r="F48" s="103"/>
      <c r="G48" s="84">
        <f t="shared" si="0"/>
        <v>0</v>
      </c>
      <c r="H48" s="84">
        <f t="shared" si="1"/>
        <v>0</v>
      </c>
      <c r="I48" s="113">
        <v>2854</v>
      </c>
      <c r="J48" s="85">
        <f t="shared" si="2"/>
        <v>0</v>
      </c>
      <c r="K48" s="85">
        <f t="shared" si="3"/>
        <v>0</v>
      </c>
      <c r="L48" s="85">
        <f t="shared" si="4"/>
        <v>0</v>
      </c>
      <c r="M48" s="85">
        <f t="shared" si="5"/>
        <v>0</v>
      </c>
      <c r="N48" s="86">
        <f t="shared" si="6"/>
        <v>0</v>
      </c>
    </row>
    <row r="49" spans="1:14" s="11" customFormat="1" ht="15.75" thickBot="1">
      <c r="A49" s="142" t="s">
        <v>16</v>
      </c>
      <c r="B49" s="143"/>
      <c r="C49" s="143"/>
      <c r="D49" s="143"/>
      <c r="E49" s="143"/>
      <c r="F49" s="143"/>
      <c r="G49" s="143"/>
      <c r="H49" s="143"/>
      <c r="I49" s="144"/>
      <c r="J49" s="61">
        <f>SUM(J5:J48)</f>
        <v>0</v>
      </c>
      <c r="K49" s="61">
        <f>SUM(K5:K48)</f>
        <v>0</v>
      </c>
      <c r="L49" s="61">
        <f>SUM(L5:L48)</f>
        <v>0</v>
      </c>
      <c r="M49" s="61">
        <f>SUM(M5:M48)</f>
        <v>0</v>
      </c>
      <c r="N49" s="73">
        <f>SUM(N5:N48)</f>
        <v>0</v>
      </c>
    </row>
    <row r="50" spans="1:14" s="2" customFormat="1" ht="15.75" thickBot="1">
      <c r="A50" s="145" t="s">
        <v>17</v>
      </c>
      <c r="B50" s="146"/>
      <c r="C50" s="146"/>
      <c r="D50" s="146"/>
      <c r="E50" s="146"/>
      <c r="F50" s="146"/>
      <c r="G50" s="146"/>
      <c r="H50" s="146"/>
      <c r="I50" s="147"/>
      <c r="J50" s="9">
        <f>J49*4</f>
        <v>0</v>
      </c>
      <c r="K50" s="62">
        <f aca="true" t="shared" si="15" ref="K50:L50">K49*4</f>
        <v>0</v>
      </c>
      <c r="L50" s="62">
        <f t="shared" si="15"/>
        <v>0</v>
      </c>
      <c r="M50" s="62">
        <f>M49*4</f>
        <v>0</v>
      </c>
      <c r="N50" s="63">
        <f>N49*4</f>
        <v>0</v>
      </c>
    </row>
    <row r="52" ht="37.5" customHeight="1">
      <c r="A52" t="s">
        <v>11</v>
      </c>
    </row>
    <row r="54" ht="69" customHeight="1">
      <c r="A54" t="s">
        <v>12</v>
      </c>
    </row>
    <row r="55" ht="15">
      <c r="A55" s="30" t="s">
        <v>33</v>
      </c>
    </row>
  </sheetData>
  <mergeCells count="3">
    <mergeCell ref="A2:N2"/>
    <mergeCell ref="A49:I49"/>
    <mergeCell ref="A50:I50"/>
  </mergeCells>
  <printOptions/>
  <pageMargins left="0.25" right="0.25" top="0.75" bottom="0.75" header="0.3" footer="0.3"/>
  <pageSetup fitToHeight="1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39"/>
  <sheetViews>
    <sheetView showGridLines="0" zoomScale="90" zoomScaleNormal="90" workbookViewId="0" topLeftCell="A1">
      <pane ySplit="4" topLeftCell="A5" activePane="bottomLeft" state="frozen"/>
      <selection pane="topLeft" activeCell="B1" sqref="B1"/>
      <selection pane="bottomLeft" activeCell="B19" sqref="B19"/>
    </sheetView>
  </sheetViews>
  <sheetFormatPr defaultColWidth="8.8515625" defaultRowHeight="15"/>
  <cols>
    <col min="1" max="1" width="51.421875" style="0" bestFit="1" customWidth="1"/>
    <col min="2" max="2" width="19.28125" style="0" customWidth="1"/>
    <col min="3" max="3" width="12.00390625" style="0" customWidth="1"/>
    <col min="4" max="4" width="9.140625" style="0" customWidth="1"/>
    <col min="5" max="5" width="11.421875" style="0" customWidth="1"/>
    <col min="6" max="6" width="10.8515625" style="0" customWidth="1"/>
    <col min="7" max="7" width="11.421875" style="0" customWidth="1"/>
    <col min="8" max="8" width="8.7109375" style="0" customWidth="1"/>
    <col min="9" max="9" width="11.8515625" style="0" customWidth="1"/>
  </cols>
  <sheetData>
    <row r="1" ht="15.75">
      <c r="A1" s="72" t="s">
        <v>32</v>
      </c>
    </row>
    <row r="2" spans="1:9" ht="48.75" customHeight="1">
      <c r="A2" s="134" t="s">
        <v>24</v>
      </c>
      <c r="B2" s="134"/>
      <c r="C2" s="134"/>
      <c r="D2" s="134"/>
      <c r="E2" s="134"/>
      <c r="F2" s="134"/>
      <c r="G2" s="134"/>
      <c r="H2" s="134"/>
      <c r="I2" s="134"/>
    </row>
    <row r="3" ht="56.25" customHeight="1" thickBot="1"/>
    <row r="4" spans="1:9" ht="99" customHeight="1" thickBot="1">
      <c r="A4" s="12" t="s">
        <v>0</v>
      </c>
      <c r="B4" s="64" t="s">
        <v>31</v>
      </c>
      <c r="C4" s="20" t="s">
        <v>4</v>
      </c>
      <c r="D4" s="20" t="s">
        <v>18</v>
      </c>
      <c r="E4" s="20" t="s">
        <v>22</v>
      </c>
      <c r="F4" s="20" t="s">
        <v>5</v>
      </c>
      <c r="G4" s="20" t="s">
        <v>14</v>
      </c>
      <c r="H4" s="20" t="s">
        <v>19</v>
      </c>
      <c r="I4" s="21" t="s">
        <v>15</v>
      </c>
    </row>
    <row r="5" spans="1:9" ht="15">
      <c r="A5" s="74" t="str">
        <f>"prostěradlo"</f>
        <v>prostěradlo</v>
      </c>
      <c r="B5" s="97"/>
      <c r="C5" s="98"/>
      <c r="D5" s="15">
        <f aca="true" t="shared" si="0" ref="D5:D32">C5*0.21</f>
        <v>0</v>
      </c>
      <c r="E5" s="15">
        <f aca="true" t="shared" si="1" ref="E5:E32">ROUND(C5+D5,2)</f>
        <v>0</v>
      </c>
      <c r="F5" s="106">
        <v>2</v>
      </c>
      <c r="G5" s="16">
        <f aca="true" t="shared" si="2" ref="G5:G32">C5*F5</f>
        <v>0</v>
      </c>
      <c r="H5" s="16">
        <f aca="true" t="shared" si="3" ref="H5:H32">G5*0.21</f>
        <v>0</v>
      </c>
      <c r="I5" s="17">
        <f aca="true" t="shared" si="4" ref="I5:I32">ROUND(G5+H5,2)</f>
        <v>0</v>
      </c>
    </row>
    <row r="6" spans="1:9" ht="15">
      <c r="A6" s="4" t="str">
        <f>"povlak na přikrývku"</f>
        <v>povlak na přikrývku</v>
      </c>
      <c r="B6" s="100"/>
      <c r="C6" s="101"/>
      <c r="D6" s="13">
        <f t="shared" si="0"/>
        <v>0</v>
      </c>
      <c r="E6" s="13">
        <f t="shared" si="1"/>
        <v>0</v>
      </c>
      <c r="F6" s="109">
        <v>773</v>
      </c>
      <c r="G6" s="14">
        <f t="shared" si="2"/>
        <v>0</v>
      </c>
      <c r="H6" s="14">
        <f t="shared" si="3"/>
        <v>0</v>
      </c>
      <c r="I6" s="18">
        <f t="shared" si="4"/>
        <v>0</v>
      </c>
    </row>
    <row r="7" spans="1:9" ht="15">
      <c r="A7" s="4" t="str">
        <f>"povlak na polštář, dětské prostěradlo"</f>
        <v>povlak na polštář, dětské prostěradlo</v>
      </c>
      <c r="B7" s="100"/>
      <c r="C7" s="101"/>
      <c r="D7" s="13">
        <f t="shared" si="0"/>
        <v>0</v>
      </c>
      <c r="E7" s="13">
        <f t="shared" si="1"/>
        <v>0</v>
      </c>
      <c r="F7" s="109">
        <v>980</v>
      </c>
      <c r="G7" s="14">
        <f t="shared" si="2"/>
        <v>0</v>
      </c>
      <c r="H7" s="14">
        <f t="shared" si="3"/>
        <v>0</v>
      </c>
      <c r="I7" s="18">
        <f t="shared" si="4"/>
        <v>0</v>
      </c>
    </row>
    <row r="8" spans="1:9" ht="15">
      <c r="A8" s="87" t="str">
        <f>"povlak na polštář dětský"</f>
        <v>povlak na polštář dětský</v>
      </c>
      <c r="B8" s="100"/>
      <c r="C8" s="101"/>
      <c r="D8" s="79">
        <f t="shared" si="0"/>
        <v>0</v>
      </c>
      <c r="E8" s="79">
        <f t="shared" si="1"/>
        <v>0</v>
      </c>
      <c r="F8" s="111">
        <v>230</v>
      </c>
      <c r="G8" s="80">
        <f t="shared" si="2"/>
        <v>0</v>
      </c>
      <c r="H8" s="80">
        <f t="shared" si="3"/>
        <v>0</v>
      </c>
      <c r="I8" s="81">
        <f t="shared" si="4"/>
        <v>0</v>
      </c>
    </row>
    <row r="9" spans="1:9" ht="15">
      <c r="A9" s="87" t="str">
        <f>"potah matrace"</f>
        <v>potah matrace</v>
      </c>
      <c r="B9" s="100"/>
      <c r="C9" s="101"/>
      <c r="D9" s="79">
        <f t="shared" si="0"/>
        <v>0</v>
      </c>
      <c r="E9" s="79">
        <f t="shared" si="1"/>
        <v>0</v>
      </c>
      <c r="F9" s="111">
        <v>3</v>
      </c>
      <c r="G9" s="80">
        <f t="shared" si="2"/>
        <v>0</v>
      </c>
      <c r="H9" s="80">
        <f t="shared" si="3"/>
        <v>0</v>
      </c>
      <c r="I9" s="81">
        <f t="shared" si="4"/>
        <v>0</v>
      </c>
    </row>
    <row r="10" spans="1:9" ht="15">
      <c r="A10" s="87" t="str">
        <f>"záclona 1m"</f>
        <v>záclona 1m</v>
      </c>
      <c r="B10" s="100"/>
      <c r="C10" s="101"/>
      <c r="D10" s="79">
        <f t="shared" si="0"/>
        <v>0</v>
      </c>
      <c r="E10" s="79">
        <f t="shared" si="1"/>
        <v>0</v>
      </c>
      <c r="F10" s="111">
        <v>14</v>
      </c>
      <c r="G10" s="80">
        <f t="shared" si="2"/>
        <v>0</v>
      </c>
      <c r="H10" s="80">
        <f t="shared" si="3"/>
        <v>0</v>
      </c>
      <c r="I10" s="81">
        <f t="shared" si="4"/>
        <v>0</v>
      </c>
    </row>
    <row r="11" spans="1:9" ht="15">
      <c r="A11" s="87" t="str">
        <f>"závěs 1 m praní"</f>
        <v>závěs 1 m praní</v>
      </c>
      <c r="B11" s="100"/>
      <c r="C11" s="101"/>
      <c r="D11" s="79">
        <f t="shared" si="0"/>
        <v>0</v>
      </c>
      <c r="E11" s="79">
        <f t="shared" si="1"/>
        <v>0</v>
      </c>
      <c r="F11" s="111">
        <v>35.81</v>
      </c>
      <c r="G11" s="80">
        <f t="shared" si="2"/>
        <v>0</v>
      </c>
      <c r="H11" s="80">
        <f t="shared" si="3"/>
        <v>0</v>
      </c>
      <c r="I11" s="81">
        <f t="shared" si="4"/>
        <v>0</v>
      </c>
    </row>
    <row r="12" spans="1:9" ht="15">
      <c r="A12" s="87" t="str">
        <f>"přikrývka (deka)"</f>
        <v>přikrývka (deka)</v>
      </c>
      <c r="B12" s="100"/>
      <c r="C12" s="101"/>
      <c r="D12" s="79">
        <f t="shared" si="0"/>
        <v>0</v>
      </c>
      <c r="E12" s="79">
        <f t="shared" si="1"/>
        <v>0</v>
      </c>
      <c r="F12" s="111">
        <v>62</v>
      </c>
      <c r="G12" s="80">
        <f t="shared" si="2"/>
        <v>0</v>
      </c>
      <c r="H12" s="80">
        <f t="shared" si="3"/>
        <v>0</v>
      </c>
      <c r="I12" s="81">
        <f t="shared" si="4"/>
        <v>0</v>
      </c>
    </row>
    <row r="13" spans="1:9" ht="15">
      <c r="A13" s="87" t="str">
        <f>"šátek, příručník, operační pásy"</f>
        <v>šátek, příručník, operační pásy</v>
      </c>
      <c r="B13" s="100"/>
      <c r="C13" s="101"/>
      <c r="D13" s="79">
        <f t="shared" si="0"/>
        <v>0</v>
      </c>
      <c r="E13" s="79">
        <f t="shared" si="1"/>
        <v>0</v>
      </c>
      <c r="F13" s="111">
        <v>2</v>
      </c>
      <c r="G13" s="80">
        <f t="shared" si="2"/>
        <v>0</v>
      </c>
      <c r="H13" s="80">
        <f t="shared" si="3"/>
        <v>0</v>
      </c>
      <c r="I13" s="81">
        <f t="shared" si="4"/>
        <v>0</v>
      </c>
    </row>
    <row r="14" spans="1:9" ht="15">
      <c r="A14" s="87" t="str">
        <f>"plena"</f>
        <v>plena</v>
      </c>
      <c r="B14" s="100"/>
      <c r="C14" s="101"/>
      <c r="D14" s="79">
        <f t="shared" si="0"/>
        <v>0</v>
      </c>
      <c r="E14" s="79">
        <f t="shared" si="1"/>
        <v>0</v>
      </c>
      <c r="F14" s="111">
        <v>6</v>
      </c>
      <c r="G14" s="80">
        <f t="shared" si="2"/>
        <v>0</v>
      </c>
      <c r="H14" s="80">
        <f t="shared" si="3"/>
        <v>0</v>
      </c>
      <c r="I14" s="81">
        <f t="shared" si="4"/>
        <v>0</v>
      </c>
    </row>
    <row r="15" spans="1:9" ht="15">
      <c r="A15" s="87" t="str">
        <f>"utěrka"</f>
        <v>utěrka</v>
      </c>
      <c r="B15" s="100"/>
      <c r="C15" s="101"/>
      <c r="D15" s="79">
        <f t="shared" si="0"/>
        <v>0</v>
      </c>
      <c r="E15" s="79">
        <f t="shared" si="1"/>
        <v>0</v>
      </c>
      <c r="F15" s="111">
        <v>6</v>
      </c>
      <c r="G15" s="80">
        <f t="shared" si="2"/>
        <v>0</v>
      </c>
      <c r="H15" s="80">
        <f t="shared" si="3"/>
        <v>0</v>
      </c>
      <c r="I15" s="81">
        <f t="shared" si="4"/>
        <v>0</v>
      </c>
    </row>
    <row r="16" spans="1:9" ht="15">
      <c r="A16" s="87" t="str">
        <f>"ručník froté"</f>
        <v>ručník froté</v>
      </c>
      <c r="B16" s="100"/>
      <c r="C16" s="101"/>
      <c r="D16" s="79">
        <f t="shared" si="0"/>
        <v>0</v>
      </c>
      <c r="E16" s="79">
        <f t="shared" si="1"/>
        <v>0</v>
      </c>
      <c r="F16" s="111">
        <v>16</v>
      </c>
      <c r="G16" s="80">
        <f t="shared" si="2"/>
        <v>0</v>
      </c>
      <c r="H16" s="80">
        <f t="shared" si="3"/>
        <v>0</v>
      </c>
      <c r="I16" s="81">
        <f t="shared" si="4"/>
        <v>0</v>
      </c>
    </row>
    <row r="17" spans="1:9" ht="15">
      <c r="A17" s="87" t="str">
        <f>"halena, vesta"</f>
        <v>halena, vesta</v>
      </c>
      <c r="B17" s="100"/>
      <c r="C17" s="101"/>
      <c r="D17" s="79">
        <f t="shared" si="0"/>
        <v>0</v>
      </c>
      <c r="E17" s="79">
        <f t="shared" si="1"/>
        <v>0</v>
      </c>
      <c r="F17" s="111">
        <v>79</v>
      </c>
      <c r="G17" s="80">
        <f t="shared" si="2"/>
        <v>0</v>
      </c>
      <c r="H17" s="80">
        <f t="shared" si="3"/>
        <v>0</v>
      </c>
      <c r="I17" s="81">
        <f t="shared" si="4"/>
        <v>0</v>
      </c>
    </row>
    <row r="18" spans="1:9" ht="15">
      <c r="A18" s="87" t="str">
        <f>"pyžamový kabátek, pyž. kalhoty"</f>
        <v>pyžamový kabátek, pyž. kalhoty</v>
      </c>
      <c r="B18" s="100"/>
      <c r="C18" s="101"/>
      <c r="D18" s="79">
        <f t="shared" si="0"/>
        <v>0</v>
      </c>
      <c r="E18" s="79">
        <f t="shared" si="1"/>
        <v>0</v>
      </c>
      <c r="F18" s="111">
        <v>6</v>
      </c>
      <c r="G18" s="80">
        <f t="shared" si="2"/>
        <v>0</v>
      </c>
      <c r="H18" s="80">
        <f t="shared" si="3"/>
        <v>0</v>
      </c>
      <c r="I18" s="81">
        <f t="shared" si="4"/>
        <v>0</v>
      </c>
    </row>
    <row r="19" spans="1:9" ht="15">
      <c r="A19" s="87" t="str">
        <f>"župan"</f>
        <v>župan</v>
      </c>
      <c r="B19" s="100"/>
      <c r="C19" s="101"/>
      <c r="D19" s="79">
        <f t="shared" si="0"/>
        <v>0</v>
      </c>
      <c r="E19" s="79">
        <f t="shared" si="1"/>
        <v>0</v>
      </c>
      <c r="F19" s="111">
        <v>22</v>
      </c>
      <c r="G19" s="80">
        <f t="shared" si="2"/>
        <v>0</v>
      </c>
      <c r="H19" s="80">
        <f t="shared" si="3"/>
        <v>0</v>
      </c>
      <c r="I19" s="81">
        <f t="shared" si="4"/>
        <v>0</v>
      </c>
    </row>
    <row r="20" spans="1:9" ht="15">
      <c r="A20" s="87" t="str">
        <f>"župan dětský"</f>
        <v>župan dětský</v>
      </c>
      <c r="B20" s="100"/>
      <c r="C20" s="101"/>
      <c r="D20" s="79">
        <f t="shared" si="0"/>
        <v>0</v>
      </c>
      <c r="E20" s="79">
        <f t="shared" si="1"/>
        <v>0</v>
      </c>
      <c r="F20" s="111">
        <v>6</v>
      </c>
      <c r="G20" s="80">
        <f t="shared" si="2"/>
        <v>0</v>
      </c>
      <c r="H20" s="80">
        <f t="shared" si="3"/>
        <v>0</v>
      </c>
      <c r="I20" s="81">
        <f t="shared" si="4"/>
        <v>0</v>
      </c>
    </row>
    <row r="21" spans="1:9" ht="15">
      <c r="A21" s="87" t="str">
        <f>"drobné do 25x25, bryndák, návleky, tonometr, ústenka"</f>
        <v>drobné do 25x25, bryndák, návleky, tonometr, ústenka</v>
      </c>
      <c r="B21" s="100"/>
      <c r="C21" s="101"/>
      <c r="D21" s="79">
        <f t="shared" si="0"/>
        <v>0</v>
      </c>
      <c r="E21" s="79">
        <f t="shared" si="1"/>
        <v>0</v>
      </c>
      <c r="F21" s="111">
        <v>2322</v>
      </c>
      <c r="G21" s="80">
        <f t="shared" si="2"/>
        <v>0</v>
      </c>
      <c r="H21" s="80">
        <f t="shared" si="3"/>
        <v>0</v>
      </c>
      <c r="I21" s="81">
        <f t="shared" si="4"/>
        <v>0</v>
      </c>
    </row>
    <row r="22" spans="1:9" ht="15">
      <c r="A22" s="87" t="str">
        <f>"spodní prádlo - slipy, trenýrky, štulpny 1 pár"</f>
        <v>spodní prádlo - slipy, trenýrky, štulpny 1 pár</v>
      </c>
      <c r="B22" s="100"/>
      <c r="C22" s="101"/>
      <c r="D22" s="79">
        <f t="shared" si="0"/>
        <v>0</v>
      </c>
      <c r="E22" s="79">
        <f t="shared" si="1"/>
        <v>0</v>
      </c>
      <c r="F22" s="111">
        <v>15</v>
      </c>
      <c r="G22" s="80">
        <f t="shared" si="2"/>
        <v>0</v>
      </c>
      <c r="H22" s="80">
        <f t="shared" si="3"/>
        <v>0</v>
      </c>
      <c r="I22" s="81">
        <f t="shared" si="4"/>
        <v>0</v>
      </c>
    </row>
    <row r="23" spans="1:9" ht="15">
      <c r="A23" s="87" t="str">
        <f>"dekuba"</f>
        <v>dekuba</v>
      </c>
      <c r="B23" s="100"/>
      <c r="C23" s="101"/>
      <c r="D23" s="79">
        <f t="shared" si="0"/>
        <v>0</v>
      </c>
      <c r="E23" s="79">
        <f t="shared" si="1"/>
        <v>0</v>
      </c>
      <c r="F23" s="111">
        <v>3</v>
      </c>
      <c r="G23" s="80">
        <f t="shared" si="2"/>
        <v>0</v>
      </c>
      <c r="H23" s="80">
        <f t="shared" si="3"/>
        <v>0</v>
      </c>
      <c r="I23" s="81">
        <f t="shared" si="4"/>
        <v>0</v>
      </c>
    </row>
    <row r="24" spans="1:9" ht="15">
      <c r="A24" s="87" t="str">
        <f>"košile (halenka, polokošile)"</f>
        <v>košile (halenka, polokošile)</v>
      </c>
      <c r="B24" s="100"/>
      <c r="C24" s="101"/>
      <c r="D24" s="79">
        <f t="shared" si="0"/>
        <v>0</v>
      </c>
      <c r="E24" s="79">
        <f t="shared" si="1"/>
        <v>0</v>
      </c>
      <c r="F24" s="111">
        <v>238</v>
      </c>
      <c r="G24" s="80">
        <f t="shared" si="2"/>
        <v>0</v>
      </c>
      <c r="H24" s="80">
        <f t="shared" si="3"/>
        <v>0</v>
      </c>
      <c r="I24" s="81">
        <f t="shared" si="4"/>
        <v>0</v>
      </c>
    </row>
    <row r="25" spans="1:9" ht="15">
      <c r="A25" s="87" t="str">
        <f>"blůza montérková"</f>
        <v>blůza montérková</v>
      </c>
      <c r="B25" s="100"/>
      <c r="C25" s="101"/>
      <c r="D25" s="79">
        <f t="shared" si="0"/>
        <v>0</v>
      </c>
      <c r="E25" s="79">
        <f t="shared" si="1"/>
        <v>0</v>
      </c>
      <c r="F25" s="111">
        <v>270</v>
      </c>
      <c r="G25" s="80">
        <f t="shared" si="2"/>
        <v>0</v>
      </c>
      <c r="H25" s="80">
        <f t="shared" si="3"/>
        <v>0</v>
      </c>
      <c r="I25" s="81">
        <f t="shared" si="4"/>
        <v>0</v>
      </c>
    </row>
    <row r="26" spans="1:9" ht="15">
      <c r="A26" s="87" t="str">
        <f>"kalhoty pracovní, lékařské, kalhoty 3/4"</f>
        <v>kalhoty pracovní, lékařské, kalhoty 3/4</v>
      </c>
      <c r="B26" s="100"/>
      <c r="C26" s="101"/>
      <c r="D26" s="79">
        <f t="shared" si="0"/>
        <v>0</v>
      </c>
      <c r="E26" s="79">
        <f t="shared" si="1"/>
        <v>0</v>
      </c>
      <c r="F26" s="111">
        <v>1172</v>
      </c>
      <c r="G26" s="80">
        <f t="shared" si="2"/>
        <v>0</v>
      </c>
      <c r="H26" s="80">
        <f t="shared" si="3"/>
        <v>0</v>
      </c>
      <c r="I26" s="81">
        <f t="shared" si="4"/>
        <v>0</v>
      </c>
    </row>
    <row r="27" spans="1:9" ht="15">
      <c r="A27" s="87" t="str">
        <f>"plášť pracovní, lékařský"</f>
        <v>plášť pracovní, lékařský</v>
      </c>
      <c r="B27" s="100"/>
      <c r="C27" s="101"/>
      <c r="D27" s="79">
        <f t="shared" si="0"/>
        <v>0</v>
      </c>
      <c r="E27" s="79">
        <f t="shared" si="1"/>
        <v>0</v>
      </c>
      <c r="F27" s="111">
        <v>37</v>
      </c>
      <c r="G27" s="80">
        <f t="shared" si="2"/>
        <v>0</v>
      </c>
      <c r="H27" s="80">
        <f t="shared" si="3"/>
        <v>0</v>
      </c>
      <c r="I27" s="81">
        <f t="shared" si="4"/>
        <v>0</v>
      </c>
    </row>
    <row r="28" spans="1:9" ht="15">
      <c r="A28" s="87" t="str">
        <f>"triko, nátělník"</f>
        <v>triko, nátělník</v>
      </c>
      <c r="B28" s="100"/>
      <c r="C28" s="101"/>
      <c r="D28" s="79">
        <f t="shared" si="0"/>
        <v>0</v>
      </c>
      <c r="E28" s="79">
        <f t="shared" si="1"/>
        <v>0</v>
      </c>
      <c r="F28" s="111">
        <v>101</v>
      </c>
      <c r="G28" s="80">
        <f t="shared" si="2"/>
        <v>0</v>
      </c>
      <c r="H28" s="80">
        <f t="shared" si="3"/>
        <v>0</v>
      </c>
      <c r="I28" s="81">
        <f t="shared" si="4"/>
        <v>0</v>
      </c>
    </row>
    <row r="29" spans="1:9" ht="15">
      <c r="A29" s="87" t="str">
        <f>"sportovní oblečení - mikina, tepláky, teplák.bunda"</f>
        <v>sportovní oblečení - mikina, tepláky, teplák.bunda</v>
      </c>
      <c r="B29" s="100"/>
      <c r="C29" s="101"/>
      <c r="D29" s="79">
        <f t="shared" si="0"/>
        <v>0</v>
      </c>
      <c r="E29" s="79">
        <f t="shared" si="1"/>
        <v>0</v>
      </c>
      <c r="F29" s="111">
        <v>3</v>
      </c>
      <c r="G29" s="80">
        <f t="shared" si="2"/>
        <v>0</v>
      </c>
      <c r="H29" s="80">
        <f t="shared" si="3"/>
        <v>0</v>
      </c>
      <c r="I29" s="81">
        <f t="shared" si="4"/>
        <v>0</v>
      </c>
    </row>
    <row r="30" spans="1:9" ht="15">
      <c r="A30" s="87" t="str">
        <f>"praní mopů za 1 kg"</f>
        <v>praní mopů za 1 kg</v>
      </c>
      <c r="B30" s="100"/>
      <c r="C30" s="101"/>
      <c r="D30" s="79">
        <f t="shared" si="0"/>
        <v>0</v>
      </c>
      <c r="E30" s="79">
        <f t="shared" si="1"/>
        <v>0</v>
      </c>
      <c r="F30" s="111">
        <v>8045.28</v>
      </c>
      <c r="G30" s="80">
        <f t="shared" si="2"/>
        <v>0</v>
      </c>
      <c r="H30" s="80">
        <f t="shared" si="3"/>
        <v>0</v>
      </c>
      <c r="I30" s="81">
        <f t="shared" si="4"/>
        <v>0</v>
      </c>
    </row>
    <row r="31" spans="1:9" ht="15">
      <c r="A31" s="87" t="str">
        <f>"pytel malý"</f>
        <v>pytel malý</v>
      </c>
      <c r="B31" s="100"/>
      <c r="C31" s="101"/>
      <c r="D31" s="79">
        <f t="shared" si="0"/>
        <v>0</v>
      </c>
      <c r="E31" s="79">
        <f t="shared" si="1"/>
        <v>0</v>
      </c>
      <c r="F31" s="111">
        <v>15</v>
      </c>
      <c r="G31" s="80">
        <f t="shared" si="2"/>
        <v>0</v>
      </c>
      <c r="H31" s="80">
        <f t="shared" si="3"/>
        <v>0</v>
      </c>
      <c r="I31" s="81">
        <f t="shared" si="4"/>
        <v>0</v>
      </c>
    </row>
    <row r="32" spans="1:9" ht="15.75" thickBot="1">
      <c r="A32" s="87" t="str">
        <f>"balení"</f>
        <v>balení</v>
      </c>
      <c r="B32" s="100"/>
      <c r="C32" s="101"/>
      <c r="D32" s="79">
        <f t="shared" si="0"/>
        <v>0</v>
      </c>
      <c r="E32" s="79">
        <f t="shared" si="1"/>
        <v>0</v>
      </c>
      <c r="F32" s="111">
        <v>3292.95</v>
      </c>
      <c r="G32" s="125">
        <f t="shared" si="2"/>
        <v>0</v>
      </c>
      <c r="H32" s="125">
        <f t="shared" si="3"/>
        <v>0</v>
      </c>
      <c r="I32" s="126">
        <f t="shared" si="4"/>
        <v>0</v>
      </c>
    </row>
    <row r="33" spans="1:9" s="10" customFormat="1" ht="15.75" thickBot="1">
      <c r="A33" s="135" t="s">
        <v>16</v>
      </c>
      <c r="B33" s="136"/>
      <c r="C33" s="136"/>
      <c r="D33" s="136"/>
      <c r="E33" s="136"/>
      <c r="F33" s="137"/>
      <c r="G33" s="62">
        <f>SUM(G5:G32)</f>
        <v>0</v>
      </c>
      <c r="H33" s="62">
        <f>SUM(H5:H32)</f>
        <v>0</v>
      </c>
      <c r="I33" s="63">
        <f>SUM(I5:I32)</f>
        <v>0</v>
      </c>
    </row>
    <row r="34" spans="1:9" ht="15.75" thickBot="1">
      <c r="A34" s="148" t="s">
        <v>17</v>
      </c>
      <c r="B34" s="149"/>
      <c r="C34" s="149"/>
      <c r="D34" s="149"/>
      <c r="E34" s="149"/>
      <c r="F34" s="150"/>
      <c r="G34" s="9">
        <f>G33*4</f>
        <v>0</v>
      </c>
      <c r="H34" s="62">
        <f aca="true" t="shared" si="5" ref="H34:I34">H33*4</f>
        <v>0</v>
      </c>
      <c r="I34" s="63">
        <f t="shared" si="5"/>
        <v>0</v>
      </c>
    </row>
    <row r="35" ht="54.75" customHeight="1"/>
    <row r="36" ht="15">
      <c r="A36" t="s">
        <v>11</v>
      </c>
    </row>
    <row r="37" ht="93.75" customHeight="1"/>
    <row r="38" ht="15">
      <c r="A38" t="s">
        <v>12</v>
      </c>
    </row>
    <row r="39" ht="15">
      <c r="A39" s="30" t="s">
        <v>33</v>
      </c>
    </row>
  </sheetData>
  <mergeCells count="3">
    <mergeCell ref="A2:I2"/>
    <mergeCell ref="A33:F33"/>
    <mergeCell ref="A34:F34"/>
  </mergeCells>
  <printOptions/>
  <pageMargins left="0.25" right="0.25" top="0.75" bottom="0.75" header="0.3" footer="0.3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26"/>
  <sheetViews>
    <sheetView showGridLines="0" workbookViewId="0" topLeftCell="A1">
      <selection activeCell="A3" sqref="A3"/>
    </sheetView>
  </sheetViews>
  <sheetFormatPr defaultColWidth="9.140625" defaultRowHeight="15"/>
  <cols>
    <col min="1" max="1" width="64.00390625" style="19" customWidth="1"/>
    <col min="2" max="2" width="21.421875" style="19" customWidth="1"/>
    <col min="3" max="3" width="10.00390625" style="19" customWidth="1"/>
    <col min="4" max="4" width="7.421875" style="19" customWidth="1"/>
    <col min="5" max="5" width="9.140625" style="19" customWidth="1"/>
    <col min="6" max="6" width="8.28125" style="19" customWidth="1"/>
    <col min="7" max="7" width="10.7109375" style="19" customWidth="1"/>
    <col min="8" max="8" width="9.140625" style="19" customWidth="1"/>
    <col min="9" max="9" width="10.28125" style="19" customWidth="1"/>
    <col min="10" max="16384" width="9.140625" style="19" customWidth="1"/>
  </cols>
  <sheetData>
    <row r="1" ht="15.75">
      <c r="A1" s="72" t="s">
        <v>32</v>
      </c>
    </row>
    <row r="2" spans="1:9" ht="60" customHeight="1">
      <c r="A2" s="151" t="s">
        <v>25</v>
      </c>
      <c r="B2" s="151"/>
      <c r="C2" s="151"/>
      <c r="D2" s="151"/>
      <c r="E2" s="151"/>
      <c r="F2" s="151"/>
      <c r="G2" s="151"/>
      <c r="H2" s="151"/>
      <c r="I2" s="151"/>
    </row>
    <row r="3" ht="55.5" customHeight="1" thickBot="1"/>
    <row r="4" spans="1:9" ht="96" customHeight="1" thickBot="1">
      <c r="A4" s="24" t="s">
        <v>13</v>
      </c>
      <c r="B4" s="64" t="s">
        <v>31</v>
      </c>
      <c r="C4" s="20" t="s">
        <v>4</v>
      </c>
      <c r="D4" s="20" t="s">
        <v>18</v>
      </c>
      <c r="E4" s="20" t="s">
        <v>22</v>
      </c>
      <c r="F4" s="20" t="s">
        <v>5</v>
      </c>
      <c r="G4" s="20" t="s">
        <v>14</v>
      </c>
      <c r="H4" s="20" t="s">
        <v>19</v>
      </c>
      <c r="I4" s="21" t="s">
        <v>15</v>
      </c>
    </row>
    <row r="5" spans="1:9" ht="15">
      <c r="A5" s="28" t="s">
        <v>47</v>
      </c>
      <c r="B5" s="67"/>
      <c r="C5" s="68"/>
      <c r="D5" s="25">
        <f>C5*0.21</f>
        <v>0</v>
      </c>
      <c r="E5" s="25">
        <f>ROUND(C5+D5,2)</f>
        <v>0</v>
      </c>
      <c r="F5" s="118">
        <v>2</v>
      </c>
      <c r="G5" s="26">
        <f>F5*C5</f>
        <v>0</v>
      </c>
      <c r="H5" s="26">
        <f>G5*0.21</f>
        <v>0</v>
      </c>
      <c r="I5" s="27">
        <f>ROUND(G5+H5,2)</f>
        <v>0</v>
      </c>
    </row>
    <row r="6" spans="1:9" ht="15">
      <c r="A6" s="28" t="s">
        <v>48</v>
      </c>
      <c r="B6" s="67"/>
      <c r="C6" s="68"/>
      <c r="D6" s="25">
        <f aca="true" t="shared" si="0" ref="D6:D20">C6*0.21</f>
        <v>0</v>
      </c>
      <c r="E6" s="25">
        <f aca="true" t="shared" si="1" ref="E6:E20">ROUND(C6+D6,2)</f>
        <v>0</v>
      </c>
      <c r="F6" s="118">
        <v>3</v>
      </c>
      <c r="G6" s="26">
        <f aca="true" t="shared" si="2" ref="G6:G20">F6*C6</f>
        <v>0</v>
      </c>
      <c r="H6" s="26">
        <f aca="true" t="shared" si="3" ref="H6:H20">G6*0.21</f>
        <v>0</v>
      </c>
      <c r="I6" s="27">
        <f aca="true" t="shared" si="4" ref="I6:I20">ROUND(G6+H6,2)</f>
        <v>0</v>
      </c>
    </row>
    <row r="7" spans="1:9" ht="15">
      <c r="A7" s="28" t="s">
        <v>49</v>
      </c>
      <c r="B7" s="67"/>
      <c r="C7" s="68"/>
      <c r="D7" s="25">
        <f t="shared" si="0"/>
        <v>0</v>
      </c>
      <c r="E7" s="25">
        <f t="shared" si="1"/>
        <v>0</v>
      </c>
      <c r="F7" s="118">
        <v>2</v>
      </c>
      <c r="G7" s="26">
        <f t="shared" si="2"/>
        <v>0</v>
      </c>
      <c r="H7" s="26">
        <f t="shared" si="3"/>
        <v>0</v>
      </c>
      <c r="I7" s="27">
        <f t="shared" si="4"/>
        <v>0</v>
      </c>
    </row>
    <row r="8" spans="1:9" ht="15">
      <c r="A8" s="28" t="s">
        <v>50</v>
      </c>
      <c r="B8" s="67"/>
      <c r="C8" s="68"/>
      <c r="D8" s="25">
        <f t="shared" si="0"/>
        <v>0</v>
      </c>
      <c r="E8" s="25">
        <f t="shared" si="1"/>
        <v>0</v>
      </c>
      <c r="F8" s="118">
        <v>147</v>
      </c>
      <c r="G8" s="26">
        <f t="shared" si="2"/>
        <v>0</v>
      </c>
      <c r="H8" s="26">
        <f t="shared" si="3"/>
        <v>0</v>
      </c>
      <c r="I8" s="27">
        <f t="shared" si="4"/>
        <v>0</v>
      </c>
    </row>
    <row r="9" spans="1:9" ht="15">
      <c r="A9" s="28" t="s">
        <v>51</v>
      </c>
      <c r="B9" s="67"/>
      <c r="C9" s="68"/>
      <c r="D9" s="25">
        <f t="shared" si="0"/>
        <v>0</v>
      </c>
      <c r="E9" s="25">
        <f t="shared" si="1"/>
        <v>0</v>
      </c>
      <c r="F9" s="118">
        <v>3</v>
      </c>
      <c r="G9" s="26">
        <f t="shared" si="2"/>
        <v>0</v>
      </c>
      <c r="H9" s="26">
        <f t="shared" si="3"/>
        <v>0</v>
      </c>
      <c r="I9" s="27">
        <f t="shared" si="4"/>
        <v>0</v>
      </c>
    </row>
    <row r="10" spans="1:9" ht="15">
      <c r="A10" s="28" t="s">
        <v>52</v>
      </c>
      <c r="B10" s="67"/>
      <c r="C10" s="68"/>
      <c r="D10" s="25">
        <f t="shared" si="0"/>
        <v>0</v>
      </c>
      <c r="E10" s="25">
        <f t="shared" si="1"/>
        <v>0</v>
      </c>
      <c r="F10" s="118">
        <v>37</v>
      </c>
      <c r="G10" s="26">
        <f t="shared" si="2"/>
        <v>0</v>
      </c>
      <c r="H10" s="26">
        <f t="shared" si="3"/>
        <v>0</v>
      </c>
      <c r="I10" s="27">
        <f t="shared" si="4"/>
        <v>0</v>
      </c>
    </row>
    <row r="11" spans="1:9" ht="15">
      <c r="A11" s="28" t="s">
        <v>60</v>
      </c>
      <c r="B11" s="67"/>
      <c r="C11" s="68"/>
      <c r="D11" s="25">
        <f t="shared" si="0"/>
        <v>0</v>
      </c>
      <c r="E11" s="25">
        <f t="shared" si="1"/>
        <v>0</v>
      </c>
      <c r="F11" s="118">
        <v>10</v>
      </c>
      <c r="G11" s="26">
        <f t="shared" si="2"/>
        <v>0</v>
      </c>
      <c r="H11" s="26">
        <f t="shared" si="3"/>
        <v>0</v>
      </c>
      <c r="I11" s="27">
        <f t="shared" si="4"/>
        <v>0</v>
      </c>
    </row>
    <row r="12" spans="1:9" ht="15">
      <c r="A12" s="28" t="s">
        <v>53</v>
      </c>
      <c r="B12" s="67"/>
      <c r="C12" s="68"/>
      <c r="D12" s="25">
        <f t="shared" si="0"/>
        <v>0</v>
      </c>
      <c r="E12" s="25">
        <f t="shared" si="1"/>
        <v>0</v>
      </c>
      <c r="F12" s="118">
        <v>8</v>
      </c>
      <c r="G12" s="26">
        <f t="shared" si="2"/>
        <v>0</v>
      </c>
      <c r="H12" s="26">
        <f t="shared" si="3"/>
        <v>0</v>
      </c>
      <c r="I12" s="27">
        <f t="shared" si="4"/>
        <v>0</v>
      </c>
    </row>
    <row r="13" spans="1:9" ht="15">
      <c r="A13" s="28" t="s">
        <v>54</v>
      </c>
      <c r="B13" s="67"/>
      <c r="C13" s="68"/>
      <c r="D13" s="25">
        <f t="shared" si="0"/>
        <v>0</v>
      </c>
      <c r="E13" s="25">
        <f t="shared" si="1"/>
        <v>0</v>
      </c>
      <c r="F13" s="118">
        <v>45</v>
      </c>
      <c r="G13" s="26">
        <f t="shared" si="2"/>
        <v>0</v>
      </c>
      <c r="H13" s="26">
        <f t="shared" si="3"/>
        <v>0</v>
      </c>
      <c r="I13" s="27">
        <f t="shared" si="4"/>
        <v>0</v>
      </c>
    </row>
    <row r="14" spans="1:9" ht="15">
      <c r="A14" s="28" t="s">
        <v>55</v>
      </c>
      <c r="B14" s="67"/>
      <c r="C14" s="68"/>
      <c r="D14" s="25">
        <f t="shared" si="0"/>
        <v>0</v>
      </c>
      <c r="E14" s="25">
        <f t="shared" si="1"/>
        <v>0</v>
      </c>
      <c r="F14" s="118">
        <v>55</v>
      </c>
      <c r="G14" s="26">
        <f t="shared" si="2"/>
        <v>0</v>
      </c>
      <c r="H14" s="26">
        <f t="shared" si="3"/>
        <v>0</v>
      </c>
      <c r="I14" s="27">
        <f t="shared" si="4"/>
        <v>0</v>
      </c>
    </row>
    <row r="15" spans="1:9" ht="15">
      <c r="A15" s="28" t="s">
        <v>56</v>
      </c>
      <c r="B15" s="67"/>
      <c r="C15" s="68"/>
      <c r="D15" s="25">
        <f t="shared" si="0"/>
        <v>0</v>
      </c>
      <c r="E15" s="25">
        <f t="shared" si="1"/>
        <v>0</v>
      </c>
      <c r="F15" s="118">
        <v>2571</v>
      </c>
      <c r="G15" s="26">
        <f t="shared" si="2"/>
        <v>0</v>
      </c>
      <c r="H15" s="26">
        <f t="shared" si="3"/>
        <v>0</v>
      </c>
      <c r="I15" s="27">
        <f t="shared" si="4"/>
        <v>0</v>
      </c>
    </row>
    <row r="16" spans="1:9" ht="15">
      <c r="A16" s="28" t="s">
        <v>57</v>
      </c>
      <c r="B16" s="67"/>
      <c r="C16" s="68"/>
      <c r="D16" s="25">
        <f t="shared" si="0"/>
        <v>0</v>
      </c>
      <c r="E16" s="25">
        <f t="shared" si="1"/>
        <v>0</v>
      </c>
      <c r="F16" s="118">
        <v>2801</v>
      </c>
      <c r="G16" s="26">
        <f t="shared" si="2"/>
        <v>0</v>
      </c>
      <c r="H16" s="26">
        <f t="shared" si="3"/>
        <v>0</v>
      </c>
      <c r="I16" s="27">
        <f t="shared" si="4"/>
        <v>0</v>
      </c>
    </row>
    <row r="17" spans="1:9" ht="15">
      <c r="A17" s="28" t="s">
        <v>58</v>
      </c>
      <c r="B17" s="67"/>
      <c r="C17" s="68"/>
      <c r="D17" s="25">
        <f t="shared" si="0"/>
        <v>0</v>
      </c>
      <c r="E17" s="25">
        <f t="shared" si="1"/>
        <v>0</v>
      </c>
      <c r="F17" s="118">
        <v>22</v>
      </c>
      <c r="G17" s="26">
        <f t="shared" si="2"/>
        <v>0</v>
      </c>
      <c r="H17" s="26">
        <f t="shared" si="3"/>
        <v>0</v>
      </c>
      <c r="I17" s="27">
        <f t="shared" si="4"/>
        <v>0</v>
      </c>
    </row>
    <row r="18" spans="1:9" ht="15">
      <c r="A18" s="29" t="s">
        <v>59</v>
      </c>
      <c r="B18" s="69"/>
      <c r="C18" s="70"/>
      <c r="D18" s="25">
        <f t="shared" si="0"/>
        <v>0</v>
      </c>
      <c r="E18" s="25">
        <f t="shared" si="1"/>
        <v>0</v>
      </c>
      <c r="F18" s="118">
        <v>238</v>
      </c>
      <c r="G18" s="26">
        <f t="shared" si="2"/>
        <v>0</v>
      </c>
      <c r="H18" s="26">
        <f t="shared" si="3"/>
        <v>0</v>
      </c>
      <c r="I18" s="27">
        <f t="shared" si="4"/>
        <v>0</v>
      </c>
    </row>
    <row r="19" spans="1:9" ht="17.25">
      <c r="A19" s="29" t="s">
        <v>62</v>
      </c>
      <c r="B19" s="69"/>
      <c r="C19" s="70"/>
      <c r="D19" s="25">
        <f t="shared" si="0"/>
        <v>0</v>
      </c>
      <c r="E19" s="25">
        <f t="shared" si="1"/>
        <v>0</v>
      </c>
      <c r="F19" s="118">
        <v>2</v>
      </c>
      <c r="G19" s="26">
        <f t="shared" si="2"/>
        <v>0</v>
      </c>
      <c r="H19" s="26">
        <f t="shared" si="3"/>
        <v>0</v>
      </c>
      <c r="I19" s="27">
        <f t="shared" si="4"/>
        <v>0</v>
      </c>
    </row>
    <row r="20" spans="1:9" ht="15.75" thickBot="1">
      <c r="A20" s="29" t="s">
        <v>61</v>
      </c>
      <c r="B20" s="69"/>
      <c r="C20" s="70"/>
      <c r="D20" s="25">
        <f t="shared" si="0"/>
        <v>0</v>
      </c>
      <c r="E20" s="25">
        <f t="shared" si="1"/>
        <v>0</v>
      </c>
      <c r="F20" s="118">
        <v>2</v>
      </c>
      <c r="G20" s="26">
        <f t="shared" si="2"/>
        <v>0</v>
      </c>
      <c r="H20" s="26">
        <f t="shared" si="3"/>
        <v>0</v>
      </c>
      <c r="I20" s="27">
        <f t="shared" si="4"/>
        <v>0</v>
      </c>
    </row>
    <row r="21" spans="1:9" s="22" customFormat="1" ht="16.5" thickBot="1">
      <c r="A21" s="152" t="s">
        <v>20</v>
      </c>
      <c r="B21" s="153"/>
      <c r="C21" s="153"/>
      <c r="D21" s="153"/>
      <c r="E21" s="153"/>
      <c r="F21" s="154"/>
      <c r="G21" s="71">
        <f>SUM(G5:G20)</f>
        <v>0</v>
      </c>
      <c r="H21" s="71">
        <f>SUM(H5:H20)</f>
        <v>0</v>
      </c>
      <c r="I21" s="71">
        <f>SUM(I5:I20)</f>
        <v>0</v>
      </c>
    </row>
    <row r="22" spans="1:9" ht="16.5" thickBot="1">
      <c r="A22" s="155" t="s">
        <v>21</v>
      </c>
      <c r="B22" s="156"/>
      <c r="C22" s="156"/>
      <c r="D22" s="156"/>
      <c r="E22" s="156"/>
      <c r="F22" s="157"/>
      <c r="G22" s="23">
        <f>G21*4</f>
        <v>0</v>
      </c>
      <c r="H22" s="71">
        <f aca="true" t="shared" si="5" ref="H22:I22">H21*4</f>
        <v>0</v>
      </c>
      <c r="I22" s="71">
        <f t="shared" si="5"/>
        <v>0</v>
      </c>
    </row>
    <row r="24" ht="45.75" customHeight="1">
      <c r="A24" s="19" t="s">
        <v>11</v>
      </c>
    </row>
    <row r="25" ht="90.75" customHeight="1">
      <c r="A25" s="19" t="s">
        <v>12</v>
      </c>
    </row>
    <row r="26" ht="15">
      <c r="A26" s="30" t="s">
        <v>33</v>
      </c>
    </row>
  </sheetData>
  <mergeCells count="3">
    <mergeCell ref="A2:I2"/>
    <mergeCell ref="A21:F21"/>
    <mergeCell ref="A22:F22"/>
  </mergeCells>
  <printOptions/>
  <pageMargins left="0.25" right="0.25" top="0.75" bottom="0.75" header="0.3" footer="0.3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Bednář</dc:creator>
  <cp:keywords/>
  <dc:description/>
  <cp:lastModifiedBy>Jaroslav Bednář</cp:lastModifiedBy>
  <cp:lastPrinted>2022-10-04T13:19:40Z</cp:lastPrinted>
  <dcterms:created xsi:type="dcterms:W3CDTF">2015-09-23T06:34:19Z</dcterms:created>
  <dcterms:modified xsi:type="dcterms:W3CDTF">2022-11-16T10:17:36Z</dcterms:modified>
  <cp:category/>
  <cp:version/>
  <cp:contentType/>
  <cp:contentStatus/>
</cp:coreProperties>
</file>