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28" yWindow="65428" windowWidth="23256" windowHeight="13176" activeTab="0"/>
  </bookViews>
  <sheets>
    <sheet name="Krycí list rozpočtu" sheetId="3" r:id="rId1"/>
    <sheet name="Stavební rozpočet - součet" sheetId="2" r:id="rId2"/>
    <sheet name="Stavební rozpočet" sheetId="1" r:id="rId3"/>
    <sheet name="Elektro" sheetId="4" r:id="rId4"/>
  </sheets>
  <definedNames/>
  <calcPr calcId="191029"/>
  <extLst/>
</workbook>
</file>

<file path=xl/sharedStrings.xml><?xml version="1.0" encoding="utf-8"?>
<sst xmlns="http://schemas.openxmlformats.org/spreadsheetml/2006/main" count="861" uniqueCount="368">
  <si>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</si>
  <si>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</si>
  <si>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</si>
  <si>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</si>
  <si>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</si>
  <si>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</si>
  <si>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</si>
  <si>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</si>
  <si>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</si>
  <si>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</si>
  <si>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</si>
  <si>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</si>
  <si>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</si>
  <si>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</si>
  <si>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</si>
  <si>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</si>
  <si>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</si>
  <si>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</si>
  <si>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</si>
  <si>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</si>
  <si>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</si>
  <si>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</si>
  <si>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</si>
  <si>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</si>
  <si>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</si>
  <si>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</si>
  <si>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</si>
  <si>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</si>
  <si>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</si>
  <si>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</si>
  <si>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</si>
  <si>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</si>
  <si>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</si>
  <si>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</si>
  <si>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</si>
  <si>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</si>
  <si>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</si>
  <si>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</si>
  <si>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</si>
  <si>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</si>
  <si>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Poznámka:</t>
  </si>
  <si>
    <t>Kód</t>
  </si>
  <si>
    <t>310271630R00</t>
  </si>
  <si>
    <t>317145339R00</t>
  </si>
  <si>
    <t>61</t>
  </si>
  <si>
    <t>612421637R00</t>
  </si>
  <si>
    <t>62</t>
  </si>
  <si>
    <t>622421143R00</t>
  </si>
  <si>
    <t>622412313R00</t>
  </si>
  <si>
    <t>64</t>
  </si>
  <si>
    <t>642942331R00</t>
  </si>
  <si>
    <t>767</t>
  </si>
  <si>
    <t>767651220R00</t>
  </si>
  <si>
    <t>553446412</t>
  </si>
  <si>
    <t>998767201R00</t>
  </si>
  <si>
    <t>777</t>
  </si>
  <si>
    <t>777615215R00</t>
  </si>
  <si>
    <t>216 01VD</t>
  </si>
  <si>
    <t>998776201R00</t>
  </si>
  <si>
    <t>784</t>
  </si>
  <si>
    <t>784401802R00</t>
  </si>
  <si>
    <t>784422911R00</t>
  </si>
  <si>
    <t>96</t>
  </si>
  <si>
    <t>968072559R00</t>
  </si>
  <si>
    <t>968071137R00</t>
  </si>
  <si>
    <t>979082113R00</t>
  </si>
  <si>
    <t>H01</t>
  </si>
  <si>
    <t>998011001R00</t>
  </si>
  <si>
    <t>M21001</t>
  </si>
  <si>
    <t>210 01VD</t>
  </si>
  <si>
    <t>VÝMĚNA NÁHRADNÍHO ZDROJE DaG V OBJEKTU DOZP MARIÁNSKÁ</t>
  </si>
  <si>
    <t>RT-2127-2</t>
  </si>
  <si>
    <t>JÁCHYMOV - MARIÁNSKÁ  č.p. 161</t>
  </si>
  <si>
    <t>Zkrácený popis</t>
  </si>
  <si>
    <t>Rozměry</t>
  </si>
  <si>
    <t>Zdi podpěrné a volné</t>
  </si>
  <si>
    <t>Zazdívka otvorů do 4 m2, pórobet.tvárnice, tl.30cm</t>
  </si>
  <si>
    <t>(3,97*3,17-2,5*2,5)*0,3</t>
  </si>
  <si>
    <t>Překlad pórobeton. plochý PSF IV/2500 150x124x3000</t>
  </si>
  <si>
    <t>Úprava povrchů vnitřní</t>
  </si>
  <si>
    <t>Omítka vnitřní zdiva, MVC, štuková</t>
  </si>
  <si>
    <t>(3,97*3,17-2,5*2,5)+2,5*0,3*3</t>
  </si>
  <si>
    <t>Úprava povrchů vnější</t>
  </si>
  <si>
    <t>Omítka vnější stěn, MVC, štuková, složitost 1-2</t>
  </si>
  <si>
    <t>(3,97*3,17-2,5*2,5)</t>
  </si>
  <si>
    <t>Nátěr stěn vnějších, slož.1-2 ,  silikonový</t>
  </si>
  <si>
    <t>Výplně otvorů</t>
  </si>
  <si>
    <t>Osazení zárubní dveřních ocelových, pl. do 10 m2</t>
  </si>
  <si>
    <t>Konstrukce doplňkové stavební (zámečnické)</t>
  </si>
  <si>
    <t>Montáž vrat otočných do ocel.zárubně, pl.do 9 m2</t>
  </si>
  <si>
    <t>Hliníková vrata otočná dvoukřídlová - 2500x2500  zateplená PUR</t>
  </si>
  <si>
    <t>Přesun hmot pro zámečnické konstr., výšky do 6 m</t>
  </si>
  <si>
    <t>Podlahy ze syntetických hmot</t>
  </si>
  <si>
    <t>Provedení nátěru  podlah betonových  2x</t>
  </si>
  <si>
    <t>(5,62*4,88+(5,62+4,88)*2*0,1)</t>
  </si>
  <si>
    <t>Epoxidová barva na beton</t>
  </si>
  <si>
    <t>(5,62*4,88+(5,62+4,88)*2*0,1)*0,125</t>
  </si>
  <si>
    <t>Přesun hmot pro podlahy povlakové, výšky do 6 m</t>
  </si>
  <si>
    <t>Malby</t>
  </si>
  <si>
    <t>Odstranění malby obroušením v místnosti H do 5 m</t>
  </si>
  <si>
    <t>(5,62+4,88)*2*3,5-2,5*2,5+5,62*4,88</t>
  </si>
  <si>
    <t>Oprava, malba váp.2x, 1bar. obrus. místn. do 3,8m</t>
  </si>
  <si>
    <t>Bourání konstrukcí</t>
  </si>
  <si>
    <t>Vybourání kovových vrat plochy nad 5 m2</t>
  </si>
  <si>
    <t>3,97*3,17</t>
  </si>
  <si>
    <t>Vyvěšení, zavěšení kovových křídel vrat nad 4 m2</t>
  </si>
  <si>
    <t>Přesun sutě vč. uložení</t>
  </si>
  <si>
    <t>Budovy občanské výstavby</t>
  </si>
  <si>
    <t>Přesun hmot pro budovy zděné výšky do 6 m</t>
  </si>
  <si>
    <t>1,2057+0,4092+0,0627</t>
  </si>
  <si>
    <t>Elektroinstalace</t>
  </si>
  <si>
    <t>Přenos nákladů z dílčího rozpočtu ze samostatné části projektové dok. - Rozvodné a pojitkové skříně, zdroj UPS - D</t>
  </si>
  <si>
    <t>Přenos nákladů z dílčího rozpočtu ze samostatné části projektové dok.- Montáž rozvodných a pojistkových skříní</t>
  </si>
  <si>
    <t>Přenos nákladů z dílčího rozpočtu ze samostatné části projektové dok. - Kabely a vodiče, jímací souprava - D</t>
  </si>
  <si>
    <t>Přenos nákladů z dílčího rozpočtu ze samostatné části projektové dok. - Montáž kabely a vodiče</t>
  </si>
  <si>
    <t>Přenos nákladů z dílčího rozpočtu ze samostatné části projektové dokumentace - Jímací souprava na př.</t>
  </si>
  <si>
    <t>Přenos nákladů z dílčího rozpočtu ze samostatné části projektové dok. - Montáž kabely, vodiče a jímací souprava</t>
  </si>
  <si>
    <t>Přenos nákladů z dílčího rozpočtu ze samostatné části projektové dok. - Dieselové soustrojí</t>
  </si>
  <si>
    <t>Přenos nákladů z dílčího rozpočtu ze samostatné části projektové dok. - Řídící rozvaděč</t>
  </si>
  <si>
    <t>Přenos nákladů z dílčího rozpočtu ze samostatné části projektové dok. - Silový rozvaděč R-ATS</t>
  </si>
  <si>
    <t>Přenos nákladů z dílčího rozpočtu ze samostatné části projektové dok. - Kabelové trasy a přísl. R-ATS, DaG</t>
  </si>
  <si>
    <t>Přenos nákladů z dílčího rozpočtu ze samostatné části projektové dok. Technol.VZT k náhradnímu zdroji</t>
  </si>
  <si>
    <t>Přenos nákladů z dílčího rozpočtu ze samostatné části projektové dok. - Spalinovod z motoru</t>
  </si>
  <si>
    <t>Přenos nákladů z dílčího rozpočtu ze samostatné části projektové dok. - Ostatní práce, stavební práce</t>
  </si>
  <si>
    <t>Přenos nákladů z dílčího rozpočtu ze samostatné části projektové dokumentace - Proškolení obsluhy</t>
  </si>
  <si>
    <t>Přenos nákladů z dílčího rozpočtu ze samostatné části projektové dokumentace - Skutečné provedení díla</t>
  </si>
  <si>
    <t>Doba výstavby:</t>
  </si>
  <si>
    <t>Začátek výstavby:</t>
  </si>
  <si>
    <t>Konec výstavby:</t>
  </si>
  <si>
    <t>Zpracováno dne:</t>
  </si>
  <si>
    <t xml:space="preserve">   dozdívka vrat</t>
  </si>
  <si>
    <t>09.07.2021</t>
  </si>
  <si>
    <t>MJ</t>
  </si>
  <si>
    <t>m3</t>
  </si>
  <si>
    <t>kus</t>
  </si>
  <si>
    <t>m2</t>
  </si>
  <si>
    <t>%</t>
  </si>
  <si>
    <t>kg</t>
  </si>
  <si>
    <t>soubor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</si>
  <si>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</si>
  <si>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</si>
  <si>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</si>
  <si>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</si>
  <si>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</si>
  <si>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</si>
  <si>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</si>
  <si>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</si>
  <si>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</si>
  <si>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Ing Adolf Rosenberg, Česká 148, 360 18 K. Vary-Taš</t>
  </si>
  <si>
    <t>Volek S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</si>
  <si>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</si>
  <si>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</si>
  <si>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</si>
  <si>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</si>
  <si>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</si>
  <si>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</si>
  <si>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</si>
  <si>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</si>
  <si>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</si>
  <si>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</si>
  <si>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</si>
  <si>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</si>
  <si>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</si>
  <si>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</si>
  <si>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</si>
  <si>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</si>
  <si>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</si>
  <si>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</si>
  <si>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</si>
  <si>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61_</t>
  </si>
  <si>
    <t>62_</t>
  </si>
  <si>
    <t>64_</t>
  </si>
  <si>
    <t>767_</t>
  </si>
  <si>
    <t>777_</t>
  </si>
  <si>
    <t>784_</t>
  </si>
  <si>
    <t>96_</t>
  </si>
  <si>
    <t>H01_</t>
  </si>
  <si>
    <t>M21001_</t>
  </si>
  <si>
    <t>3_</t>
  </si>
  <si>
    <t>6_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</si>
  <si>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</si>
  <si>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</si>
  <si>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</si>
  <si>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</si>
  <si>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</si>
  <si>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</si>
  <si>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</si>
  <si>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</si>
  <si>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</si>
  <si>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</si>
  <si>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</si>
  <si>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</si>
  <si>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</si>
  <si>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</si>
  <si>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</si>
  <si>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</si>
  <si>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</si>
  <si>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</si>
  <si>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</si>
  <si>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</si>
  <si>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</si>
  <si>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</si>
  <si>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</si>
  <si>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</si>
  <si>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</si>
  <si>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</si>
  <si>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</si>
  <si>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</si>
  <si>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</si>
  <si>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</si>
  <si>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</si>
  <si>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</si>
  <si>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</si>
  <si>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</si>
  <si>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</si>
  <si>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Revize</t>
  </si>
  <si>
    <t>Komplt.činnost, koop</t>
  </si>
  <si>
    <t>Demontáž stáv instal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</si>
  <si>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</si>
  <si>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</si>
  <si>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</si>
  <si>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</si>
  <si>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</si>
  <si>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</si>
  <si>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</si>
  <si>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</si>
  <si>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</si>
  <si>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</si>
  <si>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</si>
  <si>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</si>
  <si>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</si>
  <si>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</si>
  <si>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</si>
  <si>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</si>
  <si>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</si>
  <si>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</si>
  <si>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</si>
  <si>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</si>
  <si>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</si>
  <si>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</si>
  <si>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</si>
  <si>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</si>
  <si>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</si>
  <si>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Rekapitulace výkazu:</t>
  </si>
  <si>
    <t>PSV - Práce a dodávky PSV</t>
  </si>
  <si>
    <t>Celkem elektroinstalace a elektromontáže</t>
  </si>
  <si>
    <t>Uvedené ceny jsou bez příslušné DPH</t>
  </si>
  <si>
    <t>Elektromontáže, DaG, stavební úpravy strojovna</t>
  </si>
  <si>
    <t>Rozvodné a pojistkové skříně, bezpečnostní zdroj UPS</t>
  </si>
  <si>
    <t>M.J.</t>
  </si>
  <si>
    <t>J. Cena</t>
  </si>
  <si>
    <t>Celkem (CZK)</t>
  </si>
  <si>
    <t>Doplnění rozvaděč RH1, zásah do stávající skříně, přesná specifikace viz. níže</t>
  </si>
  <si>
    <t>ks</t>
  </si>
  <si>
    <t>Stávající rozvaděč RH, zásah do srávající skříně</t>
  </si>
  <si>
    <t>Montáž rozvodných a pojistkových skříní</t>
  </si>
  <si>
    <t>Montáž rozvaděčů plechových, hliníkových nebo plastových sestava nad 100 kg</t>
  </si>
  <si>
    <t>Kabely a vodiče, jímací soustava</t>
  </si>
  <si>
    <t>CYKY 3*240+120</t>
  </si>
  <si>
    <t>m</t>
  </si>
  <si>
    <t>CXKH-V 3*150+70 P60R, B2ca, s1, d0</t>
  </si>
  <si>
    <t>CXKH-V 3*240+120 P60R, B2ca, s1, d0</t>
  </si>
  <si>
    <t>FeZn DN10</t>
  </si>
  <si>
    <t>Svorka vyrovnání potenciálu do DN10</t>
  </si>
  <si>
    <t xml:space="preserve">Montáž kabely, vodiče </t>
  </si>
  <si>
    <t>Montáž kabelu nad 25mm2</t>
  </si>
  <si>
    <t>Montáž vodiče FeZn DN10</t>
  </si>
  <si>
    <t>Montáž svorek vyrovnání potenciálu do 25mm2</t>
  </si>
  <si>
    <t>Jímací soustava</t>
  </si>
  <si>
    <t>Podpěra vodiče pro ploché střechy</t>
  </si>
  <si>
    <t>Izolační vzpěra</t>
  </si>
  <si>
    <t>Svorka spojovací SS FeZn</t>
  </si>
  <si>
    <t>Montáž kabely, vodiče a jímací soustava</t>
  </si>
  <si>
    <t>Montáž vodiče do DN10, 30/4 vč. jímací soustavy</t>
  </si>
  <si>
    <t>Montáž svorek jímací soustavy</t>
  </si>
  <si>
    <t>Montáž podpěry jímacího vodiče</t>
  </si>
  <si>
    <t>Montáž izolační vzpěry</t>
  </si>
  <si>
    <t>Dieselové soustrojí (strojovna)</t>
  </si>
  <si>
    <r>
      <t>DAG - Dieselgenerátor</t>
    </r>
    <r>
      <rPr>
        <sz val="9"/>
        <rFont val="Arial Narrow"/>
        <family val="2"/>
      </rPr>
      <t>, soustrojí o výkonu STBY/PRIME 330/300kVA –  výstup alternátoru 3+PEN stř.50Hz, 400/230V, otáčky 1500 / min, (alternátor - odjištění na stroji, stavitelný motorový deon). Čtyřdobým diesel motorem včetně přesné elektronické regulace otáček a chladícího systému (vč.topidla v chladícím okruhu), olejového, palivového, sacího (turbodmychadlo + intercooler), elektrického systému  (vč.akubaterie a řízeného nabíječe - dobíjecího alternátoru s regulátorem) a účinné automatické regulace alternátoru.</t>
    </r>
  </si>
  <si>
    <t>Tlumič spalinovodu v provedení RESIDENT / SuperSilent - s útlumem 35 dB(A). Kompensátory, příruby, přechod na třísložkový nerezový systém.</t>
  </si>
  <si>
    <t xml:space="preserve">Vestavěná dvouplášťová nádrž na dobu chodu bez dotankování minimálně 14 hodin. </t>
  </si>
  <si>
    <t>Tankování nafty pro funkční zkoušky (nafta bez bio-složek)</t>
  </si>
  <si>
    <t>Provozní náplně zdroje (olej a chladící směs)</t>
  </si>
  <si>
    <t>Záchytná jímka s objemem 1,5násobku všech kapalin včetně nafty.</t>
  </si>
  <si>
    <t>Zhotovení nosné pomocné konstrukce pro vystěhování starého DA a nastěhování nového DA do strojovny z důvodu výškového rozdílu.</t>
  </si>
  <si>
    <t>Dopravné, jeřábové práce, stěhování do strojovny DA a ukotvení přes antivibrační speciální podložky na místě určení</t>
  </si>
  <si>
    <t>Pružinové izolátory vč. příslušenství pro kotvení do základu a k rámu DA</t>
  </si>
  <si>
    <t>Montáž, zapojení a oživení zdroje DAG</t>
  </si>
  <si>
    <t>Výchozí zátěžové zkoušky systému a výchozí revizní zprávu</t>
  </si>
  <si>
    <t>Řídící rozvaděč / jednotky záskoku s přísl. (strojovna)</t>
  </si>
  <si>
    <t xml:space="preserve"> Multifunkční  řídící jednotka záskoku s dotykovým panelem. Zobrazení Menu a software v českém jazyce. Na jednotce budou zobrazeny veškeré technické parametry motoru (min. teplota, stav paliva, otáčky, tlak oleje, napětí a dobíjení akumulátorů, MTH, stav hladiny oleje, ) a alternátoru (min. V, A, HZ, regulace, aktuální zátěž na jednotlivých fázích, přetížitelnost). Jednotka s funkcí manuálního režimu, automatického bezobslužného režimu, test zařízení v zátěži / test v režimu bez fázování. Kpl. zobrazení historie a stavů zdroje.</t>
  </si>
  <si>
    <t xml:space="preserve">Nástavbová karta pro připojení jednotky do LAN - vzdálené řízení a dohled nad motorgenerátorem  </t>
  </si>
  <si>
    <t>Jednotka pro předčasnou výstrahu poruchy před odstavením zdroje v poruchovém stavu. Sledování a výstraha min. na tyto sledované skutečnosti: hladina paliva, napětí akumulátoru, funkce dobíječe akumulátorů, činnost temperování motoru, funkce servo pohonů apod.</t>
  </si>
  <si>
    <t>GSM modul pro přenos předčasné výstrahy a stavů zdroje na určené techniky a servisní organizaci</t>
  </si>
  <si>
    <t>Propojení jednotek vč. spotřebních materiálů</t>
  </si>
  <si>
    <t>Programování jednotek a nastavení parametrů dle požadavků investora</t>
  </si>
  <si>
    <t>Silový rozvaděč R-ATS</t>
  </si>
  <si>
    <t xml:space="preserve">ATS - silový rozvaděč automatického záskoku náhradním dieselovým zdrojem. Vystrojení rozvaděče s motorovými deony a příslušentsví pro bezvýpadkový provoz dle standartu dodavatele DA  </t>
  </si>
  <si>
    <t>Analyzátor sítě a nezávislá síťová ochrana</t>
  </si>
  <si>
    <t>Zobrazovací displej, nebo diodové kontrolky s vyobrazením toku elektrické energie a zobrazení režimu sítě / motorgenerátoru</t>
  </si>
  <si>
    <t>Spotřební materiály pro zapojení kabelových svazků</t>
  </si>
  <si>
    <t>Zapojení a oživení celého systému</t>
  </si>
  <si>
    <t>Vypracování skutečného provedení rozvaděčů vč. schéma  umístěných v rozvaděčích</t>
  </si>
  <si>
    <t>Kabelové trasy a příslušenství R-ATS, DaG</t>
  </si>
  <si>
    <t>Silové kabelové propojení mezi rozvaděčem R_ATS a DA</t>
  </si>
  <si>
    <t>Podružné silové propojení mezi R_ATS a DA</t>
  </si>
  <si>
    <t>Ovládací kabeláže a datové kabeláže mezi rozvaděčem R_ATS a náhradním dieselovým zdrojem.</t>
  </si>
  <si>
    <t>Uzemnění a ochranné pospojení</t>
  </si>
  <si>
    <t>Datové kabelové propojení (CAT 6e) z R_ATS do serverovny</t>
  </si>
  <si>
    <t>Napojení servo-pohonů do ŘJ DA</t>
  </si>
  <si>
    <t>Osazení a propojení teplotního prostorového čidla do ŘJ</t>
  </si>
  <si>
    <t xml:space="preserve">Technologie vzduchotechniky k náhradnímu zdroji </t>
  </si>
  <si>
    <t>Sání strojovny - PDŽ rozměry dle dodavatele DAG a RAL dle upřesnění investora</t>
  </si>
  <si>
    <t>Sání strojovny - PRJ rozměry dle dodavatele DAG</t>
  </si>
  <si>
    <t>Sání strojovny - rozměry dle dodavatele DAG, útlum 20 - 25 dBA</t>
  </si>
  <si>
    <t>Sání strojovny - Uzavíratelná těsná klapka s přísl., rozměry dle dodavatele DAG</t>
  </si>
  <si>
    <t>Sání strojovny - Servo pohon klapky  vč. výstrahy funkčnosti (ovládání MaR)</t>
  </si>
  <si>
    <t>Sání strojovny - Síť nebo tahokov v rámu, rozměry dle dodavatele DAG</t>
  </si>
  <si>
    <t>Výdech - PDŽ rozměry dle dodavatele DAG a RAL dle upřesnění investora</t>
  </si>
  <si>
    <t>Výdech - Oblouk tlumený rozměry dle dodavatele DAG</t>
  </si>
  <si>
    <t>Výdech - Pružná manžeta na zabránění chvění na VZT potrubí</t>
  </si>
  <si>
    <t>Výdech - Uzavíratelná těsná klapka s přísl.,rozměry dle dodavatele DAG</t>
  </si>
  <si>
    <t>Výdech - Servo pohon klapky 20 sec. vč. výstrahy funkčnosti (ovládání MaR)</t>
  </si>
  <si>
    <t>Výdech - Speciální přechod na výdech, rozměry dle dodavatele DAG</t>
  </si>
  <si>
    <t>Výdech - Tlumič (nebo odhlučněná PDŽ) - rozměry dle dodavatele DAG, útlum 20 - 25 dBA</t>
  </si>
  <si>
    <t>Spotřební materiály, závěsy, pomocné konstrukce a VRN</t>
  </si>
  <si>
    <t>Dopravné materiálu, stěhování a montáž vzduchotechniky</t>
  </si>
  <si>
    <t>Výchozí zprávu VZT</t>
  </si>
  <si>
    <t>Spalinovod z motoru</t>
  </si>
  <si>
    <t>Kompenzátor nerezový (popř. nerezové flexi potrubí) pro přetlakové vysokoteplotní vedení</t>
  </si>
  <si>
    <t>Příruby a přechod na třísložkový systém nerezového spalinovodu 600°C / 5000 Pa</t>
  </si>
  <si>
    <t>Koleno 87° s čistícím otvorem až 600°C/5000 Pa</t>
  </si>
  <si>
    <t>Čistící prvek do 600°C/ 5000Pa</t>
  </si>
  <si>
    <t>Stěnová vzpěra typ I, d = 350mm, vč. prícníku</t>
  </si>
  <si>
    <t>Základová deska se spodním odtokem kondenzátu</t>
  </si>
  <si>
    <t>KL pasta</t>
  </si>
  <si>
    <t>Objimka pro ochranu před bleskem</t>
  </si>
  <si>
    <t>Spojka</t>
  </si>
  <si>
    <t>1/2" hrdlo se zátkou</t>
  </si>
  <si>
    <t>Větrací hlavice včetně uzávěru uz. vedení a odtoku konden.</t>
  </si>
  <si>
    <t>T-kus 87°</t>
  </si>
  <si>
    <t>Prodloužení 1000 mm</t>
  </si>
  <si>
    <t>Prodloužení 500 mm</t>
  </si>
  <si>
    <t>Prodloužení 300mm</t>
  </si>
  <si>
    <t>Prodloužení 250 mm</t>
  </si>
  <si>
    <t>Prodloužení 500 mm konický, zakracovatelný</t>
  </si>
  <si>
    <t>Odstup od stěny nastavitelný 50-150 mm</t>
  </si>
  <si>
    <t>Odstup od stěny nastavitelný 150-250 mm</t>
  </si>
  <si>
    <t>Koleno 90°</t>
  </si>
  <si>
    <t>Límec s okrajem</t>
  </si>
  <si>
    <t>Střešní průchodka 36-45° "OLOVO" včetně límce</t>
  </si>
  <si>
    <t>Dvojdílný stropní uzávěr z nerezové oceli, odvětrávaný</t>
  </si>
  <si>
    <t>Přechodka kl / dw-kl,systém kl</t>
  </si>
  <si>
    <t>Spotřební materiály, pomocné konstrukce, pasty apod.</t>
  </si>
  <si>
    <t>Montáž spalinovodu (certifikované na přetlakové spalinovodu pro DA)</t>
  </si>
  <si>
    <t>Pronájem vysokozdvižné plošiny pro demontáž starého spalinovodu a instalaci nového spalinovodu</t>
  </si>
  <si>
    <t>Výchozí revizní zpráva na spalinovody s protokoly</t>
  </si>
  <si>
    <t>Ostatní práce, stavební práce</t>
  </si>
  <si>
    <t>Odpojení a demontáž stávajícího motorgenerátoru ČKD se souvisejícími technologiemi.</t>
  </si>
  <si>
    <t>Demontáž palivového hospodářství, stávající elektroinstalace a rozvaděčů k motorgenerátoru ČKD</t>
  </si>
  <si>
    <t>Demontáž technologie vzduchotechniky a kouřovodu</t>
  </si>
  <si>
    <t>Ekologická likvidace motorgenerátoru ČKD a doložení protokolu o ekologické likvidaci</t>
  </si>
  <si>
    <t>Vybourání části betonového základu pod původním strojem, jeho oprava a přizpůsobení pro instalaci nového stroje</t>
  </si>
  <si>
    <t>Opatření nátěrem proti ropným produktům</t>
  </si>
  <si>
    <t>Proškolení obsluhy, PD skutečného provedení</t>
  </si>
  <si>
    <t>Proškolení obsluhy v minimálním rozsahu 2 hodin</t>
  </si>
  <si>
    <t>Zhotovení skutečného provedení celého díla</t>
  </si>
  <si>
    <t>Zajištění (dodávka) a připojení mobilního náhradního zdroje o minimálním výkonu 330 kVA po celou dobu přepojení tak, aby nedošlo k výpadku napájení objektu, pohonné hmoty jsou nákladem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</si>
</sst>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\ &quot;Kč&quot;"/>
    <numFmt numFmtId="166" formatCode="[$-405]General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"/>
      <color theme="1"/>
      <name val="Arial Narrow"/>
      <family val="2"/>
    </font>
    <font>
      <sz val="11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CE"/>
      <family val="2"/>
    </font>
    <font>
      <sz val="8"/>
      <color rgb="FF000000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</cellStyleXfs>
  <cellXfs count="213">
    <xf numFmtId="0" fontId="1" fillId="0" borderId="0" xfId="0" applyFont="1" applyAlignment="1">
      <alignment vertical="center"/>
    </xf>
    <xf numFmtId="165" fontId="19" fillId="2" borderId="1" xfId="0" applyNumberFormat="1" applyFont="1" applyFill="1" applyBorder="1" applyProtection="1">
      <protection locked="0"/>
    </xf>
    <xf numFmtId="165" fontId="19" fillId="2" borderId="2" xfId="0" applyNumberFormat="1" applyFont="1" applyFill="1" applyBorder="1" applyProtection="1">
      <protection locked="0"/>
    </xf>
    <xf numFmtId="165" fontId="29" fillId="2" borderId="3" xfId="0" applyNumberFormat="1" applyFont="1" applyFill="1" applyBorder="1" applyProtection="1">
      <protection locked="0"/>
    </xf>
    <xf numFmtId="165" fontId="26" fillId="2" borderId="2" xfId="0" applyNumberFormat="1" applyFont="1" applyFill="1" applyBorder="1" applyAlignment="1" applyProtection="1">
      <alignment wrapText="1"/>
      <protection locked="0"/>
    </xf>
    <xf numFmtId="0" fontId="16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Alignment="1" applyProtection="1">
      <alignment vertical="center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165" fontId="19" fillId="0" borderId="4" xfId="0" applyNumberFormat="1" applyFont="1" applyBorder="1" applyProtection="1">
      <protection/>
    </xf>
    <xf numFmtId="165" fontId="20" fillId="3" borderId="5" xfId="0" applyNumberFormat="1" applyFont="1" applyFill="1" applyBorder="1" applyProtection="1">
      <protection/>
    </xf>
    <xf numFmtId="0" fontId="19" fillId="0" borderId="0" xfId="0" applyFont="1" applyProtection="1">
      <protection/>
    </xf>
    <xf numFmtId="165" fontId="16" fillId="0" borderId="6" xfId="0" applyNumberFormat="1" applyFont="1" applyBorder="1" applyProtection="1">
      <protection/>
    </xf>
    <xf numFmtId="0" fontId="0" fillId="0" borderId="7" xfId="0" applyBorder="1" applyProtection="1">
      <protection/>
    </xf>
    <xf numFmtId="165" fontId="21" fillId="0" borderId="4" xfId="0" applyNumberFormat="1" applyFont="1" applyBorder="1" applyProtection="1">
      <protection/>
    </xf>
    <xf numFmtId="165" fontId="21" fillId="0" borderId="0" xfId="0" applyNumberFormat="1" applyFont="1" applyProtection="1">
      <protection/>
    </xf>
    <xf numFmtId="0" fontId="20" fillId="3" borderId="8" xfId="0" applyFont="1" applyFill="1" applyBorder="1" applyProtection="1">
      <protection/>
    </xf>
    <xf numFmtId="0" fontId="20" fillId="3" borderId="9" xfId="0" applyFont="1" applyFill="1" applyBorder="1" applyProtection="1">
      <protection/>
    </xf>
    <xf numFmtId="0" fontId="20" fillId="3" borderId="10" xfId="0" applyFont="1" applyFill="1" applyBorder="1" applyProtection="1">
      <protection/>
    </xf>
    <xf numFmtId="0" fontId="19" fillId="0" borderId="1" xfId="0" applyFont="1" applyBorder="1" applyProtection="1">
      <protection/>
    </xf>
    <xf numFmtId="2" fontId="19" fillId="0" borderId="1" xfId="0" applyNumberFormat="1" applyFont="1" applyBorder="1" applyProtection="1">
      <protection/>
    </xf>
    <xf numFmtId="165" fontId="19" fillId="0" borderId="1" xfId="0" applyNumberFormat="1" applyFont="1" applyBorder="1" applyProtection="1">
      <protection/>
    </xf>
    <xf numFmtId="0" fontId="22" fillId="0" borderId="0" xfId="0" applyFont="1" applyProtection="1">
      <protection/>
    </xf>
    <xf numFmtId="165" fontId="19" fillId="0" borderId="11" xfId="0" applyNumberFormat="1" applyFont="1" applyBorder="1" applyProtection="1">
      <protection/>
    </xf>
    <xf numFmtId="2" fontId="19" fillId="0" borderId="0" xfId="0" applyNumberFormat="1" applyFont="1" applyProtection="1">
      <protection/>
    </xf>
    <xf numFmtId="165" fontId="19" fillId="0" borderId="0" xfId="0" applyNumberFormat="1" applyFont="1" applyProtection="1">
      <protection/>
    </xf>
    <xf numFmtId="0" fontId="19" fillId="0" borderId="2" xfId="0" applyFont="1" applyBorder="1" applyProtection="1">
      <protection/>
    </xf>
    <xf numFmtId="2" fontId="19" fillId="0" borderId="2" xfId="0" applyNumberFormat="1" applyFont="1" applyBorder="1" applyProtection="1">
      <protection/>
    </xf>
    <xf numFmtId="165" fontId="19" fillId="0" borderId="2" xfId="0" applyNumberFormat="1" applyFont="1" applyBorder="1" applyProtection="1">
      <protection/>
    </xf>
    <xf numFmtId="165" fontId="21" fillId="0" borderId="12" xfId="0" applyNumberFormat="1" applyFont="1" applyBorder="1" applyProtection="1">
      <protection/>
    </xf>
    <xf numFmtId="165" fontId="19" fillId="0" borderId="13" xfId="0" applyNumberFormat="1" applyFont="1" applyBorder="1" applyProtection="1">
      <protection/>
    </xf>
    <xf numFmtId="166" fontId="24" fillId="0" borderId="1" xfId="20" applyNumberFormat="1" applyFont="1" applyBorder="1" applyAlignment="1" applyProtection="1">
      <alignment horizontal="left" vertical="center" wrapText="1"/>
      <protection/>
    </xf>
    <xf numFmtId="0" fontId="19" fillId="0" borderId="3" xfId="0" applyFont="1" applyBorder="1" applyProtection="1">
      <protection/>
    </xf>
    <xf numFmtId="166" fontId="25" fillId="0" borderId="2" xfId="20" applyNumberFormat="1" applyFont="1" applyBorder="1" applyAlignment="1" applyProtection="1">
      <alignment horizontal="left" vertical="center" wrapText="1"/>
      <protection/>
    </xf>
    <xf numFmtId="0" fontId="26" fillId="0" borderId="2" xfId="0" applyFont="1" applyBorder="1" applyAlignment="1" applyProtection="1">
      <alignment horizontal="left" vertical="top" wrapText="1"/>
      <protection/>
    </xf>
    <xf numFmtId="0" fontId="26" fillId="0" borderId="2" xfId="0" applyFont="1" applyBorder="1" applyAlignment="1" applyProtection="1">
      <alignment wrapText="1"/>
      <protection/>
    </xf>
    <xf numFmtId="0" fontId="19" fillId="0" borderId="14" xfId="0" applyFont="1" applyBorder="1" applyProtection="1">
      <protection/>
    </xf>
    <xf numFmtId="0" fontId="26" fillId="0" borderId="2" xfId="0" applyFont="1" applyBorder="1" applyAlignment="1" applyProtection="1">
      <alignment horizontal="justify" vertical="center"/>
      <protection/>
    </xf>
    <xf numFmtId="0" fontId="26" fillId="0" borderId="2" xfId="0" applyFont="1" applyBorder="1" applyProtection="1">
      <protection/>
    </xf>
    <xf numFmtId="49" fontId="26" fillId="0" borderId="2" xfId="0" applyNumberFormat="1" applyFont="1" applyBorder="1" applyAlignment="1" applyProtection="1">
      <alignment wrapText="1"/>
      <protection/>
    </xf>
    <xf numFmtId="166" fontId="27" fillId="0" borderId="1" xfId="20" applyNumberFormat="1" applyFont="1" applyBorder="1" applyAlignment="1" applyProtection="1">
      <alignment horizontal="left" vertical="center" wrapText="1"/>
      <protection/>
    </xf>
    <xf numFmtId="0" fontId="28" fillId="0" borderId="2" xfId="0" applyFont="1" applyBorder="1" applyAlignment="1" applyProtection="1">
      <alignment horizontal="left" vertical="top" wrapText="1"/>
      <protection/>
    </xf>
    <xf numFmtId="0" fontId="28" fillId="0" borderId="2" xfId="0" applyFont="1" applyBorder="1" applyAlignment="1" applyProtection="1">
      <alignment horizontal="justify" vertical="center"/>
      <protection/>
    </xf>
    <xf numFmtId="0" fontId="28" fillId="0" borderId="2" xfId="0" applyFont="1" applyBorder="1" applyAlignment="1" applyProtection="1">
      <alignment wrapText="1"/>
      <protection/>
    </xf>
    <xf numFmtId="0" fontId="28" fillId="0" borderId="1" xfId="0" applyFont="1" applyBorder="1" applyAlignment="1" applyProtection="1">
      <alignment horizontal="left" vertical="top" wrapText="1"/>
      <protection/>
    </xf>
    <xf numFmtId="166" fontId="27" fillId="0" borderId="2" xfId="20" applyNumberFormat="1" applyFont="1" applyBorder="1" applyAlignment="1" applyProtection="1">
      <alignment horizontal="left" vertical="center" wrapText="1"/>
      <protection/>
    </xf>
    <xf numFmtId="0" fontId="28" fillId="0" borderId="2" xfId="0" applyFont="1" applyBorder="1" applyProtection="1">
      <protection/>
    </xf>
    <xf numFmtId="166" fontId="27" fillId="0" borderId="2" xfId="20" applyNumberFormat="1" applyFont="1" applyBorder="1" applyAlignment="1" applyProtection="1">
      <alignment horizontal="justify" vertical="center" wrapText="1"/>
      <protection/>
    </xf>
    <xf numFmtId="0" fontId="28" fillId="0" borderId="1" xfId="0" applyFont="1" applyBorder="1" applyAlignment="1" applyProtection="1">
      <alignment horizontal="justify" vertical="center" wrapText="1"/>
      <protection/>
    </xf>
    <xf numFmtId="2" fontId="29" fillId="0" borderId="3" xfId="0" applyNumberFormat="1" applyFont="1" applyBorder="1" applyProtection="1">
      <protection/>
    </xf>
    <xf numFmtId="2" fontId="29" fillId="0" borderId="14" xfId="0" applyNumberFormat="1" applyFont="1" applyBorder="1" applyProtection="1">
      <protection/>
    </xf>
    <xf numFmtId="0" fontId="28" fillId="0" borderId="2" xfId="0" applyFont="1" applyBorder="1" applyAlignment="1" applyProtection="1">
      <alignment vertical="center" wrapText="1"/>
      <protection/>
    </xf>
    <xf numFmtId="2" fontId="26" fillId="0" borderId="14" xfId="0" applyNumberFormat="1" applyFont="1" applyBorder="1" applyAlignment="1" applyProtection="1">
      <alignment wrapText="1"/>
      <protection/>
    </xf>
    <xf numFmtId="2" fontId="26" fillId="0" borderId="2" xfId="0" applyNumberFormat="1" applyFont="1" applyBorder="1" applyAlignment="1" applyProtection="1">
      <alignment wrapText="1"/>
      <protection/>
    </xf>
    <xf numFmtId="2" fontId="29" fillId="0" borderId="2" xfId="0" applyNumberFormat="1" applyFont="1" applyBorder="1" applyProtection="1">
      <protection/>
    </xf>
    <xf numFmtId="0" fontId="30" fillId="0" borderId="1" xfId="0" applyFont="1" applyBorder="1" applyAlignment="1" applyProtection="1">
      <alignment vertical="center" wrapText="1"/>
      <protection/>
    </xf>
    <xf numFmtId="0" fontId="30" fillId="0" borderId="2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15" xfId="0" applyNumberFormat="1" applyFont="1" applyFill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vertical="center"/>
      <protection hidden="1"/>
    </xf>
    <xf numFmtId="49" fontId="8" fillId="4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4" fillId="4" borderId="27" xfId="0" applyNumberFormat="1" applyFont="1" applyFill="1" applyBorder="1" applyAlignment="1" applyProtection="1">
      <alignment horizontal="left" vertical="center"/>
      <protection hidden="1"/>
    </xf>
    <xf numFmtId="49" fontId="8" fillId="4" borderId="28" xfId="0" applyNumberFormat="1" applyFont="1" applyFill="1" applyBorder="1" applyAlignment="1" applyProtection="1">
      <alignment horizontal="left" vertical="center"/>
      <protection hidden="1"/>
    </xf>
    <xf numFmtId="49" fontId="4" fillId="4" borderId="28" xfId="0" applyNumberFormat="1" applyFont="1" applyFill="1" applyBorder="1" applyAlignment="1" applyProtection="1">
      <alignment horizontal="left" vertical="center"/>
      <protection hidden="1"/>
    </xf>
    <xf numFmtId="4" fontId="8" fillId="4" borderId="28" xfId="0" applyNumberFormat="1" applyFont="1" applyFill="1" applyBorder="1" applyAlignment="1" applyProtection="1">
      <alignment horizontal="right" vertical="center"/>
      <protection hidden="1"/>
    </xf>
    <xf numFmtId="49" fontId="8" fillId="4" borderId="29" xfId="0" applyNumberFormat="1" applyFont="1" applyFill="1" applyBorder="1" applyAlignment="1" applyProtection="1">
      <alignment horizontal="right" vertical="center"/>
      <protection hidden="1"/>
    </xf>
    <xf numFmtId="4" fontId="8" fillId="4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3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9" fillId="0" borderId="0" xfId="0" applyNumberFormat="1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49" fontId="4" fillId="4" borderId="15" xfId="0" applyNumberFormat="1" applyFont="1" applyFill="1" applyBorder="1" applyAlignment="1" applyProtection="1">
      <alignment horizontal="lef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4" fillId="4" borderId="0" xfId="0" applyNumberFormat="1" applyFont="1" applyFill="1" applyBorder="1" applyAlignment="1" applyProtection="1">
      <alignment horizontal="left" vertical="center"/>
      <protection hidden="1"/>
    </xf>
    <xf numFmtId="49" fontId="8" fillId="4" borderId="30" xfId="0" applyNumberFormat="1" applyFont="1" applyFill="1" applyBorder="1" applyAlignment="1" applyProtection="1">
      <alignment horizontal="right" vertical="center"/>
      <protection hidden="1"/>
    </xf>
    <xf numFmtId="49" fontId="6" fillId="0" borderId="15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3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31" xfId="0" applyNumberFormat="1" applyFont="1" applyFill="1" applyBorder="1" applyAlignment="1" applyProtection="1">
      <alignment horizontal="left" vertical="center"/>
      <protection hidden="1"/>
    </xf>
    <xf numFmtId="49" fontId="5" fillId="0" borderId="32" xfId="0" applyNumberFormat="1" applyFont="1" applyFill="1" applyBorder="1" applyAlignment="1" applyProtection="1">
      <alignment horizontal="left" vertical="center"/>
      <protection hidden="1"/>
    </xf>
    <xf numFmtId="164" fontId="5" fillId="0" borderId="32" xfId="0" applyNumberFormat="1" applyFont="1" applyFill="1" applyBorder="1" applyAlignment="1" applyProtection="1">
      <alignment horizontal="right" vertical="center"/>
      <protection hidden="1"/>
    </xf>
    <xf numFmtId="4" fontId="5" fillId="0" borderId="32" xfId="0" applyNumberFormat="1" applyFont="1" applyFill="1" applyBorder="1" applyAlignment="1" applyProtection="1">
      <alignment horizontal="right" vertical="center"/>
      <protection hidden="1"/>
    </xf>
    <xf numFmtId="49" fontId="5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33" xfId="0" applyNumberFormat="1" applyFont="1" applyFill="1" applyBorder="1" applyAlignment="1" applyProtection="1">
      <alignment vertical="center"/>
      <protection hidden="1"/>
    </xf>
    <xf numFmtId="4" fontId="3" fillId="0" borderId="33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" fontId="5" fillId="5" borderId="0" xfId="0" applyNumberFormat="1" applyFont="1" applyFill="1" applyBorder="1" applyAlignment="1" applyProtection="1">
      <alignment horizontal="right" vertical="center"/>
      <protection hidden="1" locked="0"/>
    </xf>
    <xf numFmtId="4" fontId="6" fillId="5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4" xfId="0" applyNumberFormat="1" applyFont="1" applyFill="1" applyBorder="1" applyAlignment="1" applyProtection="1">
      <alignment horizontal="left" vertical="center"/>
      <protection hidden="1"/>
    </xf>
    <xf numFmtId="49" fontId="3" fillId="0" borderId="8" xfId="0" applyNumberFormat="1" applyFont="1" applyFill="1" applyBorder="1" applyAlignment="1" applyProtection="1">
      <alignment horizontal="left" vertical="center"/>
      <protection hidden="1"/>
    </xf>
    <xf numFmtId="49" fontId="3" fillId="0" borderId="9" xfId="0" applyNumberFormat="1" applyFont="1" applyFill="1" applyBorder="1" applyAlignment="1" applyProtection="1">
      <alignment horizontal="left"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1" fillId="0" borderId="27" xfId="0" applyNumberFormat="1" applyFont="1" applyFill="1" applyBorder="1" applyAlignment="1" applyProtection="1">
      <alignment horizontal="left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4" fontId="1" fillId="0" borderId="28" xfId="0" applyNumberFormat="1" applyFont="1" applyFill="1" applyBorder="1" applyAlignment="1" applyProtection="1">
      <alignment horizontal="righ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32" xfId="0" applyNumberFormat="1" applyFont="1" applyFill="1" applyBorder="1" applyAlignment="1" applyProtection="1">
      <alignment/>
      <protection hidden="1"/>
    </xf>
    <xf numFmtId="0" fontId="1" fillId="0" borderId="3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horizontal="center" vertical="center"/>
      <protection hidden="1"/>
    </xf>
    <xf numFmtId="49" fontId="13" fillId="0" borderId="13" xfId="0" applyNumberFormat="1" applyFont="1" applyFill="1" applyBorder="1" applyAlignment="1" applyProtection="1">
      <alignment horizontal="left" vertical="center"/>
      <protection hidden="1"/>
    </xf>
    <xf numFmtId="49" fontId="14" fillId="0" borderId="2" xfId="0" applyNumberFormat="1" applyFont="1" applyFill="1" applyBorder="1" applyAlignment="1" applyProtection="1">
      <alignment horizontal="left" vertical="center"/>
      <protection hidden="1"/>
    </xf>
    <xf numFmtId="4" fontId="14" fillId="0" borderId="2" xfId="0" applyNumberFormat="1" applyFont="1" applyFill="1" applyBorder="1" applyAlignment="1" applyProtection="1">
      <alignment horizontal="right" vertical="center"/>
      <protection hidden="1"/>
    </xf>
    <xf numFmtId="49" fontId="14" fillId="0" borderId="2" xfId="0" applyNumberFormat="1" applyFont="1" applyFill="1" applyBorder="1" applyAlignment="1" applyProtection="1">
      <alignment horizontal="right" vertical="center"/>
      <protection hidden="1"/>
    </xf>
    <xf numFmtId="49" fontId="13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vertical="center"/>
      <protection hidden="1"/>
    </xf>
    <xf numFmtId="4" fontId="14" fillId="0" borderId="25" xfId="0" applyNumberFormat="1" applyFont="1" applyFill="1" applyBorder="1" applyAlignment="1" applyProtection="1">
      <alignment horizontal="right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35" xfId="0" applyNumberFormat="1" applyFont="1" applyFill="1" applyBorder="1" applyAlignment="1" applyProtection="1">
      <alignment vertical="center"/>
      <protection hidden="1"/>
    </xf>
    <xf numFmtId="4" fontId="13" fillId="6" borderId="14" xfId="0" applyNumberFormat="1" applyFont="1" applyFill="1" applyBorder="1" applyAlignment="1" applyProtection="1">
      <alignment horizontal="right" vertical="center"/>
      <protection hidden="1"/>
    </xf>
    <xf numFmtId="0" fontId="1" fillId="0" borderId="31" xfId="0" applyNumberFormat="1" applyFont="1" applyFill="1" applyBorder="1" applyAlignment="1" applyProtection="1">
      <alignment vertical="center"/>
      <protection hidden="1"/>
    </xf>
    <xf numFmtId="0" fontId="1" fillId="0" borderId="36" xfId="0" applyNumberFormat="1" applyFont="1" applyFill="1" applyBorder="1" applyAlignment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15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/>
      <protection hidden="1"/>
    </xf>
    <xf numFmtId="49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5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5" borderId="0" xfId="0" applyNumberFormat="1" applyFont="1" applyFill="1" applyBorder="1" applyAlignment="1" applyProtection="1">
      <alignment horizontal="left" vertical="center"/>
      <protection hidden="1" locked="0"/>
    </xf>
    <xf numFmtId="49" fontId="1" fillId="5" borderId="30" xfId="0" applyNumberFormat="1" applyFont="1" applyFill="1" applyBorder="1" applyAlignment="1" applyProtection="1">
      <alignment horizontal="left" vertical="center"/>
      <protection hidden="1" locked="0"/>
    </xf>
    <xf numFmtId="0" fontId="1" fillId="5" borderId="30" xfId="0" applyNumberFormat="1" applyFont="1" applyFill="1" applyBorder="1" applyAlignment="1" applyProtection="1">
      <alignment horizontal="left" vertical="center"/>
      <protection hidden="1" locked="0"/>
    </xf>
    <xf numFmtId="0" fontId="1" fillId="0" borderId="31" xfId="0" applyNumberFormat="1" applyFont="1" applyFill="1" applyBorder="1" applyAlignment="1" applyProtection="1">
      <alignment horizontal="left" vertical="center"/>
      <protection hidden="1"/>
    </xf>
    <xf numFmtId="0" fontId="1" fillId="0" borderId="32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" xfId="0" applyNumberFormat="1" applyFont="1" applyFill="1" applyBorder="1" applyAlignment="1" applyProtection="1">
      <alignment horizontal="left" vertical="center"/>
      <protection hidden="1"/>
    </xf>
    <xf numFmtId="49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NumberFormat="1" applyFont="1" applyFill="1" applyBorder="1" applyAlignment="1" applyProtection="1">
      <alignment horizontal="center" vertical="center"/>
      <protection hidden="1"/>
    </xf>
    <xf numFmtId="49" fontId="15" fillId="0" borderId="35" xfId="0" applyNumberFormat="1" applyFont="1" applyFill="1" applyBorder="1" applyAlignment="1" applyProtection="1">
      <alignment horizontal="left" vertical="center"/>
      <protection hidden="1"/>
    </xf>
    <xf numFmtId="0" fontId="15" fillId="0" borderId="14" xfId="0" applyNumberFormat="1" applyFont="1" applyFill="1" applyBorder="1" applyAlignment="1" applyProtection="1">
      <alignment horizontal="left" vertical="center"/>
      <protection hidden="1"/>
    </xf>
    <xf numFmtId="49" fontId="14" fillId="0" borderId="35" xfId="0" applyNumberFormat="1" applyFont="1" applyFill="1" applyBorder="1" applyAlignment="1" applyProtection="1">
      <alignment horizontal="left" vertical="center"/>
      <protection hidden="1"/>
    </xf>
    <xf numFmtId="0" fontId="14" fillId="0" borderId="14" xfId="0" applyNumberFormat="1" applyFont="1" applyFill="1" applyBorder="1" applyAlignment="1" applyProtection="1">
      <alignment horizontal="left" vertical="center"/>
      <protection hidden="1"/>
    </xf>
    <xf numFmtId="49" fontId="13" fillId="0" borderId="35" xfId="0" applyNumberFormat="1" applyFont="1" applyFill="1" applyBorder="1" applyAlignment="1" applyProtection="1">
      <alignment horizontal="left" vertical="center"/>
      <protection hidden="1"/>
    </xf>
    <xf numFmtId="0" fontId="13" fillId="0" borderId="14" xfId="0" applyNumberFormat="1" applyFont="1" applyFill="1" applyBorder="1" applyAlignment="1" applyProtection="1">
      <alignment horizontal="left" vertical="center"/>
      <protection hidden="1"/>
    </xf>
    <xf numFmtId="49" fontId="13" fillId="6" borderId="35" xfId="0" applyNumberFormat="1" applyFont="1" applyFill="1" applyBorder="1" applyAlignment="1" applyProtection="1">
      <alignment horizontal="left" vertical="center"/>
      <protection hidden="1"/>
    </xf>
    <xf numFmtId="0" fontId="13" fillId="6" borderId="38" xfId="0" applyNumberFormat="1" applyFont="1" applyFill="1" applyBorder="1" applyAlignment="1" applyProtection="1">
      <alignment horizontal="left" vertical="center"/>
      <protection hidden="1"/>
    </xf>
    <xf numFmtId="49" fontId="14" fillId="0" borderId="39" xfId="0" applyNumberFormat="1" applyFont="1" applyFill="1" applyBorder="1" applyAlignment="1" applyProtection="1">
      <alignment horizontal="left" vertical="center"/>
      <protection hidden="1"/>
    </xf>
    <xf numFmtId="0" fontId="14" fillId="0" borderId="28" xfId="0" applyNumberFormat="1" applyFont="1" applyFill="1" applyBorder="1" applyAlignment="1" applyProtection="1">
      <alignment horizontal="left" vertical="center"/>
      <protection hidden="1"/>
    </xf>
    <xf numFmtId="0" fontId="14" fillId="0" borderId="40" xfId="0" applyNumberFormat="1" applyFont="1" applyFill="1" applyBorder="1" applyAlignment="1" applyProtection="1">
      <alignment horizontal="left" vertical="center"/>
      <protection hidden="1"/>
    </xf>
    <xf numFmtId="49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41" xfId="0" applyNumberFormat="1" applyFont="1" applyFill="1" applyBorder="1" applyAlignment="1" applyProtection="1">
      <alignment horizontal="left" vertical="center"/>
      <protection hidden="1"/>
    </xf>
    <xf numFmtId="49" fontId="14" fillId="0" borderId="42" xfId="0" applyNumberFormat="1" applyFont="1" applyFill="1" applyBorder="1" applyAlignment="1" applyProtection="1">
      <alignment horizontal="left" vertical="center"/>
      <protection hidden="1"/>
    </xf>
    <xf numFmtId="0" fontId="14" fillId="0" borderId="43" xfId="0" applyNumberFormat="1" applyFont="1" applyFill="1" applyBorder="1" applyAlignment="1" applyProtection="1">
      <alignment horizontal="left" vertical="center"/>
      <protection hidden="1"/>
    </xf>
    <xf numFmtId="0" fontId="14" fillId="0" borderId="44" xfId="0" applyNumberFormat="1" applyFont="1" applyFill="1" applyBorder="1" applyAlignment="1" applyProtection="1">
      <alignment horizontal="left" vertical="center"/>
      <protection hidden="1"/>
    </xf>
    <xf numFmtId="49" fontId="2" fillId="0" borderId="32" xfId="0" applyNumberFormat="1" applyFont="1" applyFill="1" applyBorder="1" applyAlignment="1" applyProtection="1">
      <alignment horizontal="center"/>
      <protection hidden="1"/>
    </xf>
    <xf numFmtId="49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5" xfId="0" applyNumberFormat="1" applyFont="1" applyFill="1" applyBorder="1" applyAlignment="1" applyProtection="1">
      <alignment horizontal="left" vertical="center"/>
      <protection hidden="1"/>
    </xf>
    <xf numFmtId="0" fontId="1" fillId="0" borderId="43" xfId="0" applyNumberFormat="1" applyFont="1" applyFill="1" applyBorder="1" applyAlignment="1" applyProtection="1">
      <alignment horizontal="left" vertical="center"/>
      <protection hidden="1"/>
    </xf>
    <xf numFmtId="0" fontId="1" fillId="0" borderId="46" xfId="0" applyNumberFormat="1" applyFont="1" applyFill="1" applyBorder="1" applyAlignment="1" applyProtection="1">
      <alignment horizontal="left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/>
      <protection hidden="1"/>
    </xf>
    <xf numFmtId="49" fontId="3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8" xfId="0" applyNumberFormat="1" applyFont="1" applyFill="1" applyBorder="1" applyAlignment="1" applyProtection="1">
      <alignment horizontal="left" vertical="center"/>
      <protection hidden="1"/>
    </xf>
    <xf numFmtId="0" fontId="3" fillId="0" borderId="29" xfId="0" applyNumberFormat="1" applyFont="1" applyFill="1" applyBorder="1" applyAlignment="1" applyProtection="1">
      <alignment horizontal="left" vertical="center"/>
      <protection hidden="1"/>
    </xf>
    <xf numFmtId="49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NumberFormat="1" applyFont="1" applyFill="1" applyBorder="1" applyAlignment="1" applyProtection="1">
      <alignment horizontal="center" vertical="center"/>
      <protection hidden="1"/>
    </xf>
    <xf numFmtId="49" fontId="3" fillId="0" borderId="45" xfId="0" applyNumberFormat="1" applyFont="1" applyFill="1" applyBorder="1" applyAlignment="1" applyProtection="1">
      <alignment horizontal="left" vertical="center"/>
      <protection hidden="1"/>
    </xf>
    <xf numFmtId="0" fontId="3" fillId="0" borderId="43" xfId="0" applyNumberFormat="1" applyFont="1" applyFill="1" applyBorder="1" applyAlignment="1" applyProtection="1">
      <alignment horizontal="left" vertical="center"/>
      <protection hidden="1"/>
    </xf>
    <xf numFmtId="0" fontId="3" fillId="0" borderId="46" xfId="0" applyNumberFormat="1" applyFont="1" applyFill="1" applyBorder="1" applyAlignment="1" applyProtection="1">
      <alignment horizontal="left" vertical="center"/>
      <protection hidden="1"/>
    </xf>
    <xf numFmtId="49" fontId="8" fillId="4" borderId="28" xfId="0" applyNumberFormat="1" applyFont="1" applyFill="1" applyBorder="1" applyAlignment="1" applyProtection="1">
      <alignment horizontal="left" vertical="center"/>
      <protection hidden="1"/>
    </xf>
    <xf numFmtId="0" fontId="8" fillId="4" borderId="28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0" fontId="8" fillId="4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32" xfId="0" applyNumberFormat="1" applyFont="1" applyFill="1" applyBorder="1" applyAlignment="1" applyProtection="1">
      <alignment horizontal="left" vertical="center"/>
      <protection hidden="1"/>
    </xf>
    <xf numFmtId="0" fontId="5" fillId="0" borderId="32" xfId="0" applyNumberFormat="1" applyFont="1" applyFill="1" applyBorder="1" applyAlignment="1" applyProtection="1">
      <alignment horizontal="left" vertical="center"/>
      <protection hidden="1"/>
    </xf>
    <xf numFmtId="49" fontId="3" fillId="0" borderId="33" xfId="0" applyNumberFormat="1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7</xdr:row>
      <xdr:rowOff>85725</xdr:rowOff>
    </xdr:from>
    <xdr:to>
      <xdr:col>6</xdr:col>
      <xdr:colOff>400050</xdr:colOff>
      <xdr:row>10</xdr:row>
      <xdr:rowOff>142875</xdr:rowOff>
    </xdr:to>
    <xdr:pic>
      <xdr:nvPicPr>
        <xdr:cNvPr id="307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2143125"/>
          <a:ext cx="971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9">
      <selection activeCell="L12" sqref="L12"/>
    </sheetView>
  </sheetViews>
  <sheetFormatPr defaultColWidth="11.57421875" defaultRowHeight="12.75"/>
  <cols>
    <col min="1" max="1" width="9.140625" style="58" customWidth="1"/>
    <col min="2" max="2" width="12.8515625" style="58" customWidth="1"/>
    <col min="3" max="3" width="22.8515625" style="58" customWidth="1"/>
    <col min="4" max="4" width="10.00390625" style="58" customWidth="1"/>
    <col min="5" max="5" width="14.00390625" style="58" customWidth="1"/>
    <col min="6" max="6" width="22.8515625" style="58" customWidth="1"/>
    <col min="7" max="7" width="9.140625" style="58" customWidth="1"/>
    <col min="8" max="8" width="12.8515625" style="58" customWidth="1"/>
    <col min="9" max="9" width="22.8515625" style="58" customWidth="1"/>
    <col min="10" max="16384" width="11.57421875" style="58" customWidth="1"/>
  </cols>
  <sheetData>
    <row r="1" spans="1:9" ht="72.9" customHeight="1">
      <c r="A1" s="125"/>
      <c r="B1" s="126"/>
      <c r="C1" s="142" t="s">
        <v>213</v>
      </c>
      <c r="D1" s="143"/>
      <c r="E1" s="143"/>
      <c r="F1" s="143"/>
      <c r="G1" s="143"/>
      <c r="H1" s="143"/>
      <c r="I1" s="143"/>
    </row>
    <row r="2" spans="1:10" ht="12.75">
      <c r="A2" s="144" t="s">
        <v>1</v>
      </c>
      <c r="B2" s="145"/>
      <c r="C2" s="148" t="str">
        <f>'Stavební rozpočet'!C2</f>
        <v>VÝMĚNA NÁHRADNÍHO ZDROJE DaG V OBJEKTU DOZP MARIÁNSKÁ</v>
      </c>
      <c r="D2" s="149"/>
      <c r="E2" s="151" t="s">
        <v>141</v>
      </c>
      <c r="F2" s="151" t="str">
        <f>'Stavební rozpočet'!J2</f>
        <v> </v>
      </c>
      <c r="G2" s="145"/>
      <c r="H2" s="151" t="s">
        <v>238</v>
      </c>
      <c r="I2" s="152"/>
      <c r="J2" s="59"/>
    </row>
    <row r="3" spans="1:10" ht="25.65" customHeight="1">
      <c r="A3" s="146"/>
      <c r="B3" s="147"/>
      <c r="C3" s="150"/>
      <c r="D3" s="150"/>
      <c r="E3" s="147"/>
      <c r="F3" s="147"/>
      <c r="G3" s="147"/>
      <c r="H3" s="147"/>
      <c r="I3" s="153"/>
      <c r="J3" s="59"/>
    </row>
    <row r="4" spans="1:10" ht="12.75">
      <c r="A4" s="155" t="s">
        <v>2</v>
      </c>
      <c r="B4" s="147"/>
      <c r="C4" s="156" t="str">
        <f>'Stavební rozpočet'!C4</f>
        <v>RT-2127-2</v>
      </c>
      <c r="D4" s="147"/>
      <c r="E4" s="156" t="s">
        <v>142</v>
      </c>
      <c r="F4" s="156" t="str">
        <f>'Stavební rozpočet'!J4</f>
        <v>Ing Adolf Rosenberg, Česká 148, 360 18 K. Vary-Taš</v>
      </c>
      <c r="G4" s="147"/>
      <c r="H4" s="156" t="s">
        <v>238</v>
      </c>
      <c r="I4" s="154"/>
      <c r="J4" s="59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59"/>
    </row>
    <row r="6" spans="1:10" ht="12.75">
      <c r="A6" s="155" t="s">
        <v>3</v>
      </c>
      <c r="B6" s="147"/>
      <c r="C6" s="156" t="str">
        <f>'Stavební rozpočet'!C6</f>
        <v>JÁCHYMOV - MARIÁNSKÁ  č.p. 161</v>
      </c>
      <c r="D6" s="147"/>
      <c r="E6" s="156" t="s">
        <v>143</v>
      </c>
      <c r="F6" s="157" t="str">
        <f>'Stavební rozpočet'!J6</f>
        <v> </v>
      </c>
      <c r="G6" s="158"/>
      <c r="H6" s="156" t="s">
        <v>238</v>
      </c>
      <c r="I6" s="159"/>
      <c r="J6" s="59"/>
    </row>
    <row r="7" spans="1:10" ht="12.75">
      <c r="A7" s="146"/>
      <c r="B7" s="147"/>
      <c r="C7" s="147"/>
      <c r="D7" s="147"/>
      <c r="E7" s="147"/>
      <c r="F7" s="158"/>
      <c r="G7" s="158"/>
      <c r="H7" s="147"/>
      <c r="I7" s="160"/>
      <c r="J7" s="59"/>
    </row>
    <row r="8" spans="1:10" ht="12.75">
      <c r="A8" s="155" t="s">
        <v>127</v>
      </c>
      <c r="B8" s="147"/>
      <c r="C8" s="156" t="str">
        <f>'Stavební rozpočet'!G4</f>
        <v xml:space="preserve"> </v>
      </c>
      <c r="D8" s="147"/>
      <c r="E8" s="156" t="s">
        <v>128</v>
      </c>
      <c r="F8" s="156" t="str">
        <f>'Stavební rozpočet'!G6</f>
        <v xml:space="preserve"> </v>
      </c>
      <c r="G8" s="147"/>
      <c r="H8" s="163" t="s">
        <v>239</v>
      </c>
      <c r="I8" s="154" t="s">
        <v>39</v>
      </c>
      <c r="J8" s="59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59"/>
    </row>
    <row r="10" spans="1:10" ht="12.75">
      <c r="A10" s="155" t="s">
        <v>4</v>
      </c>
      <c r="B10" s="147"/>
      <c r="C10" s="156">
        <f>'Stavební rozpočet'!C8</f>
        <v>801</v>
      </c>
      <c r="D10" s="147"/>
      <c r="E10" s="156" t="s">
        <v>144</v>
      </c>
      <c r="F10" s="156" t="str">
        <f>'Stavební rozpočet'!J8</f>
        <v>Volek S</v>
      </c>
      <c r="G10" s="147"/>
      <c r="H10" s="163" t="s">
        <v>240</v>
      </c>
      <c r="I10" s="164" t="str">
        <f>'Stavební rozpočet'!G8</f>
        <v>09.07.2021</v>
      </c>
      <c r="J10" s="59"/>
    </row>
    <row r="11" spans="1:10" ht="12.75">
      <c r="A11" s="161"/>
      <c r="B11" s="162"/>
      <c r="C11" s="162"/>
      <c r="D11" s="162"/>
      <c r="E11" s="162"/>
      <c r="F11" s="162"/>
      <c r="G11" s="162"/>
      <c r="H11" s="162"/>
      <c r="I11" s="165"/>
      <c r="J11" s="59"/>
    </row>
    <row r="12" spans="1:9" ht="23.4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167"/>
    </row>
    <row r="13" spans="1:10" ht="26.4" customHeight="1">
      <c r="A13" s="127" t="s">
        <v>199</v>
      </c>
      <c r="B13" s="168" t="s">
        <v>211</v>
      </c>
      <c r="C13" s="169"/>
      <c r="D13" s="127" t="s">
        <v>214</v>
      </c>
      <c r="E13" s="168" t="s">
        <v>223</v>
      </c>
      <c r="F13" s="169"/>
      <c r="G13" s="127" t="s">
        <v>224</v>
      </c>
      <c r="H13" s="168" t="s">
        <v>241</v>
      </c>
      <c r="I13" s="169"/>
      <c r="J13" s="59"/>
    </row>
    <row r="14" spans="1:10" ht="15.15" customHeight="1">
      <c r="A14" s="128" t="s">
        <v>200</v>
      </c>
      <c r="B14" s="129" t="s">
        <v>212</v>
      </c>
      <c r="C14" s="130">
        <f>SUM('Stavební rozpočet'!AB12:AB64)</f>
        <v>0</v>
      </c>
      <c r="D14" s="170" t="s">
        <v>215</v>
      </c>
      <c r="E14" s="171"/>
      <c r="F14" s="130">
        <v>0</v>
      </c>
      <c r="G14" s="170" t="s">
        <v>225</v>
      </c>
      <c r="H14" s="171"/>
      <c r="I14" s="131" t="s">
        <v>242</v>
      </c>
      <c r="J14" s="59"/>
    </row>
    <row r="15" spans="1:10" ht="15.15" customHeight="1">
      <c r="A15" s="132"/>
      <c r="B15" s="129" t="s">
        <v>153</v>
      </c>
      <c r="C15" s="130">
        <f>SUM('Stavební rozpočet'!AC12:AC64)</f>
        <v>0</v>
      </c>
      <c r="D15" s="170" t="s">
        <v>216</v>
      </c>
      <c r="E15" s="171"/>
      <c r="F15" s="130">
        <v>0</v>
      </c>
      <c r="G15" s="170" t="s">
        <v>226</v>
      </c>
      <c r="H15" s="171"/>
      <c r="I15" s="131" t="s">
        <v>242</v>
      </c>
      <c r="J15" s="59"/>
    </row>
    <row r="16" spans="1:10" ht="15.15" customHeight="1">
      <c r="A16" s="128" t="s">
        <v>201</v>
      </c>
      <c r="B16" s="129" t="s">
        <v>212</v>
      </c>
      <c r="C16" s="130">
        <f>SUM('Stavební rozpočet'!AD12:AD64)</f>
        <v>0</v>
      </c>
      <c r="D16" s="170" t="s">
        <v>217</v>
      </c>
      <c r="E16" s="171"/>
      <c r="F16" s="130">
        <v>0</v>
      </c>
      <c r="G16" s="170" t="s">
        <v>227</v>
      </c>
      <c r="H16" s="171"/>
      <c r="I16" s="131" t="s">
        <v>242</v>
      </c>
      <c r="J16" s="59"/>
    </row>
    <row r="17" spans="1:10" ht="15.15" customHeight="1">
      <c r="A17" s="132"/>
      <c r="B17" s="129" t="s">
        <v>153</v>
      </c>
      <c r="C17" s="130">
        <f>SUM('Stavební rozpočet'!AE12:AE64)</f>
        <v>0</v>
      </c>
      <c r="D17" s="170"/>
      <c r="E17" s="171"/>
      <c r="F17" s="131"/>
      <c r="G17" s="170" t="s">
        <v>228</v>
      </c>
      <c r="H17" s="171"/>
      <c r="I17" s="131" t="s">
        <v>242</v>
      </c>
      <c r="J17" s="59"/>
    </row>
    <row r="18" spans="1:10" ht="15.15" customHeight="1">
      <c r="A18" s="128" t="s">
        <v>202</v>
      </c>
      <c r="B18" s="129" t="s">
        <v>212</v>
      </c>
      <c r="C18" s="130">
        <f>SUM('Stavební rozpočet'!AF12:AF64)</f>
        <v>0</v>
      </c>
      <c r="D18" s="170"/>
      <c r="E18" s="171"/>
      <c r="F18" s="131"/>
      <c r="G18" s="170" t="s">
        <v>229</v>
      </c>
      <c r="H18" s="171"/>
      <c r="I18" s="131" t="s">
        <v>242</v>
      </c>
      <c r="J18" s="59"/>
    </row>
    <row r="19" spans="1:10" ht="15.15" customHeight="1">
      <c r="A19" s="132"/>
      <c r="B19" s="129" t="s">
        <v>153</v>
      </c>
      <c r="C19" s="130">
        <f>SUM('Stavební rozpočet'!AG12:AG64)</f>
        <v>0</v>
      </c>
      <c r="D19" s="170"/>
      <c r="E19" s="171"/>
      <c r="F19" s="131"/>
      <c r="G19" s="170" t="s">
        <v>230</v>
      </c>
      <c r="H19" s="171"/>
      <c r="I19" s="131" t="s">
        <v>242</v>
      </c>
      <c r="J19" s="59"/>
    </row>
    <row r="20" spans="1:10" ht="15.15" customHeight="1">
      <c r="A20" s="172" t="s">
        <v>203</v>
      </c>
      <c r="B20" s="173"/>
      <c r="C20" s="130">
        <f>SUM('Stavební rozpočet'!AH12:AH64)</f>
        <v>0</v>
      </c>
      <c r="D20" s="170"/>
      <c r="E20" s="171"/>
      <c r="F20" s="131"/>
      <c r="G20" s="170"/>
      <c r="H20" s="171"/>
      <c r="I20" s="131"/>
      <c r="J20" s="59"/>
    </row>
    <row r="21" spans="1:10" ht="15.15" customHeight="1">
      <c r="A21" s="172" t="s">
        <v>204</v>
      </c>
      <c r="B21" s="173"/>
      <c r="C21" s="130">
        <f>SUM('Stavební rozpočet'!Z12:Z64)</f>
        <v>0</v>
      </c>
      <c r="D21" s="170"/>
      <c r="E21" s="171"/>
      <c r="F21" s="131"/>
      <c r="G21" s="170"/>
      <c r="H21" s="171"/>
      <c r="I21" s="131"/>
      <c r="J21" s="59"/>
    </row>
    <row r="22" spans="1:10" ht="16.65" customHeight="1">
      <c r="A22" s="172" t="s">
        <v>205</v>
      </c>
      <c r="B22" s="173"/>
      <c r="C22" s="130">
        <f>SUM(C14:C21)</f>
        <v>0</v>
      </c>
      <c r="D22" s="172" t="s">
        <v>218</v>
      </c>
      <c r="E22" s="173"/>
      <c r="F22" s="130">
        <f>SUM(F14:F21)</f>
        <v>0</v>
      </c>
      <c r="G22" s="172" t="s">
        <v>231</v>
      </c>
      <c r="H22" s="173"/>
      <c r="I22" s="130">
        <f>SUM(I14:I21)</f>
        <v>0</v>
      </c>
      <c r="J22" s="59"/>
    </row>
    <row r="23" spans="1:10" ht="15.15" customHeight="1">
      <c r="A23" s="108"/>
      <c r="B23" s="108"/>
      <c r="C23" s="133"/>
      <c r="D23" s="172" t="s">
        <v>219</v>
      </c>
      <c r="E23" s="173"/>
      <c r="F23" s="134">
        <v>0</v>
      </c>
      <c r="G23" s="172" t="s">
        <v>232</v>
      </c>
      <c r="H23" s="173"/>
      <c r="I23" s="130">
        <v>0</v>
      </c>
      <c r="J23" s="59"/>
    </row>
    <row r="24" spans="4:9" ht="15.15" customHeight="1">
      <c r="D24" s="108"/>
      <c r="E24" s="108"/>
      <c r="F24" s="135"/>
      <c r="G24" s="172" t="s">
        <v>233</v>
      </c>
      <c r="H24" s="173"/>
      <c r="I24" s="136"/>
    </row>
    <row r="25" spans="6:10" ht="15.15" customHeight="1">
      <c r="F25" s="92"/>
      <c r="G25" s="172" t="s">
        <v>234</v>
      </c>
      <c r="H25" s="173"/>
      <c r="I25" s="130">
        <v>0</v>
      </c>
      <c r="J25" s="59"/>
    </row>
    <row r="26" spans="1:9" ht="12.75">
      <c r="A26" s="126"/>
      <c r="B26" s="126"/>
      <c r="C26" s="126"/>
      <c r="G26" s="108"/>
      <c r="H26" s="108"/>
      <c r="I26" s="108"/>
    </row>
    <row r="27" spans="1:9" ht="15.15" customHeight="1">
      <c r="A27" s="174" t="s">
        <v>206</v>
      </c>
      <c r="B27" s="175"/>
      <c r="C27" s="137">
        <f>SUM('Stavební rozpočet'!AJ12:AJ64)</f>
        <v>0</v>
      </c>
      <c r="D27" s="138"/>
      <c r="E27" s="126"/>
      <c r="F27" s="126"/>
      <c r="G27" s="126"/>
      <c r="H27" s="126"/>
      <c r="I27" s="126"/>
    </row>
    <row r="28" spans="1:10" ht="15.15" customHeight="1">
      <c r="A28" s="174" t="s">
        <v>207</v>
      </c>
      <c r="B28" s="175"/>
      <c r="C28" s="137">
        <f>SUM('Stavební rozpočet'!AK12:AK64)+(F22+I22+F23+I23+I24+I25)</f>
        <v>0</v>
      </c>
      <c r="D28" s="174" t="s">
        <v>220</v>
      </c>
      <c r="E28" s="175"/>
      <c r="F28" s="137">
        <f>ROUND(C28*(15/100),2)</f>
        <v>0</v>
      </c>
      <c r="G28" s="174" t="s">
        <v>235</v>
      </c>
      <c r="H28" s="175"/>
      <c r="I28" s="137">
        <f>SUM(C27:C29)</f>
        <v>0</v>
      </c>
      <c r="J28" s="59"/>
    </row>
    <row r="29" spans="1:10" ht="15.15" customHeight="1">
      <c r="A29" s="174" t="s">
        <v>208</v>
      </c>
      <c r="B29" s="175"/>
      <c r="C29" s="137">
        <f>SUM('Stavební rozpočet'!AL12:AL64)</f>
        <v>0</v>
      </c>
      <c r="D29" s="174" t="s">
        <v>221</v>
      </c>
      <c r="E29" s="175"/>
      <c r="F29" s="137">
        <f>ROUND(C29*(21/100),2)</f>
        <v>0</v>
      </c>
      <c r="G29" s="174" t="s">
        <v>236</v>
      </c>
      <c r="H29" s="175"/>
      <c r="I29" s="137">
        <f>SUM(F28:F29)+I28</f>
        <v>0</v>
      </c>
      <c r="J29" s="59"/>
    </row>
    <row r="30" spans="1:9" ht="12.7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10" ht="14.4" customHeight="1">
      <c r="A31" s="176" t="s">
        <v>209</v>
      </c>
      <c r="B31" s="177"/>
      <c r="C31" s="178"/>
      <c r="D31" s="176" t="s">
        <v>222</v>
      </c>
      <c r="E31" s="177"/>
      <c r="F31" s="178"/>
      <c r="G31" s="176" t="s">
        <v>237</v>
      </c>
      <c r="H31" s="177"/>
      <c r="I31" s="178"/>
      <c r="J31" s="65"/>
    </row>
    <row r="32" spans="1:10" ht="14.4" customHeight="1">
      <c r="A32" s="179"/>
      <c r="B32" s="180"/>
      <c r="C32" s="181"/>
      <c r="D32" s="179"/>
      <c r="E32" s="180"/>
      <c r="F32" s="181"/>
      <c r="G32" s="179"/>
      <c r="H32" s="180"/>
      <c r="I32" s="181"/>
      <c r="J32" s="65"/>
    </row>
    <row r="33" spans="1:10" ht="14.4" customHeight="1">
      <c r="A33" s="179"/>
      <c r="B33" s="180"/>
      <c r="C33" s="181"/>
      <c r="D33" s="179"/>
      <c r="E33" s="180"/>
      <c r="F33" s="181"/>
      <c r="G33" s="179"/>
      <c r="H33" s="180"/>
      <c r="I33" s="181"/>
      <c r="J33" s="65"/>
    </row>
    <row r="34" spans="1:10" ht="14.4" customHeight="1">
      <c r="A34" s="179"/>
      <c r="B34" s="180"/>
      <c r="C34" s="181"/>
      <c r="D34" s="179"/>
      <c r="E34" s="180"/>
      <c r="F34" s="181"/>
      <c r="G34" s="179"/>
      <c r="H34" s="180"/>
      <c r="I34" s="181"/>
      <c r="J34" s="65"/>
    </row>
    <row r="35" spans="1:10" ht="14.4" customHeight="1">
      <c r="A35" s="182" t="s">
        <v>210</v>
      </c>
      <c r="B35" s="183"/>
      <c r="C35" s="184"/>
      <c r="D35" s="182" t="s">
        <v>210</v>
      </c>
      <c r="E35" s="183"/>
      <c r="F35" s="184"/>
      <c r="G35" s="182" t="s">
        <v>210</v>
      </c>
      <c r="H35" s="183"/>
      <c r="I35" s="184"/>
      <c r="J35" s="65"/>
    </row>
    <row r="36" spans="1:9" ht="11.25" customHeight="1">
      <c r="A36" s="140" t="s">
        <v>40</v>
      </c>
      <c r="B36" s="141"/>
      <c r="C36" s="141"/>
      <c r="D36" s="141"/>
      <c r="E36" s="141"/>
      <c r="F36" s="141"/>
      <c r="G36" s="141"/>
      <c r="H36" s="141"/>
      <c r="I36" s="141"/>
    </row>
    <row r="37" spans="1:9" ht="12.75">
      <c r="A37" s="156"/>
      <c r="B37" s="147"/>
      <c r="C37" s="147"/>
      <c r="D37" s="147"/>
      <c r="E37" s="147"/>
      <c r="F37" s="147"/>
      <c r="G37" s="147"/>
      <c r="H37" s="147"/>
      <c r="I37" s="147"/>
    </row>
  </sheetData>
  <sheetProtection algorithmName="SHA-512" hashValue="ET+quRAoP48gQDy6yDJFpjQVhdgY73DWsdvfqf5CRwjBZD5Ky/ftguumeZRyVyANYxTcXDs1+Z+ENQOAciAacQ==" saltValue="tSUjNZ+6KfgApXIXNszf6w==" spinCount="100000" sheet="1"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 topLeftCell="A1">
      <pane ySplit="10" topLeftCell="A11" activePane="bottomLeft" state="frozen"/>
      <selection pane="bottomLeft" activeCell="F13" sqref="F13"/>
    </sheetView>
  </sheetViews>
  <sheetFormatPr defaultColWidth="11.57421875" defaultRowHeight="12.75"/>
  <cols>
    <col min="1" max="2" width="7.140625" style="58" customWidth="1"/>
    <col min="3" max="3" width="57.140625" style="58" customWidth="1"/>
    <col min="4" max="4" width="11.57421875" style="58" customWidth="1"/>
    <col min="5" max="5" width="22.140625" style="58" customWidth="1"/>
    <col min="6" max="6" width="21.00390625" style="58" customWidth="1"/>
    <col min="7" max="7" width="20.8515625" style="58" customWidth="1"/>
    <col min="8" max="9" width="11.57421875" style="58" hidden="1" customWidth="1"/>
    <col min="10" max="16384" width="11.57421875" style="58" customWidth="1"/>
  </cols>
  <sheetData>
    <row r="1" spans="1:7" ht="72.9" customHeight="1">
      <c r="A1" s="185" t="s">
        <v>192</v>
      </c>
      <c r="B1" s="143"/>
      <c r="C1" s="143"/>
      <c r="D1" s="143"/>
      <c r="E1" s="143"/>
      <c r="F1" s="143"/>
      <c r="G1" s="143"/>
    </row>
    <row r="2" spans="1:8" ht="12.75">
      <c r="A2" s="144" t="s">
        <v>1</v>
      </c>
      <c r="B2" s="145"/>
      <c r="C2" s="148" t="str">
        <f>'Stavební rozpočet'!C2</f>
        <v>VÝMĚNA NÁHRADNÍHO ZDROJE DaG V OBJEKTU DOZP MARIÁNSKÁ</v>
      </c>
      <c r="D2" s="186" t="s">
        <v>126</v>
      </c>
      <c r="E2" s="186" t="s">
        <v>6</v>
      </c>
      <c r="F2" s="151" t="s">
        <v>141</v>
      </c>
      <c r="G2" s="187" t="str">
        <f>'Stavební rozpočet'!J2</f>
        <v> </v>
      </c>
      <c r="H2" s="59"/>
    </row>
    <row r="3" spans="1:8" ht="12.75">
      <c r="A3" s="146"/>
      <c r="B3" s="147"/>
      <c r="C3" s="150"/>
      <c r="D3" s="147"/>
      <c r="E3" s="147"/>
      <c r="F3" s="147"/>
      <c r="G3" s="153"/>
      <c r="H3" s="59"/>
    </row>
    <row r="4" spans="1:8" ht="12.75">
      <c r="A4" s="155" t="s">
        <v>2</v>
      </c>
      <c r="B4" s="147"/>
      <c r="C4" s="156" t="str">
        <f>'Stavební rozpočet'!C4</f>
        <v>RT-2127-2</v>
      </c>
      <c r="D4" s="163" t="s">
        <v>127</v>
      </c>
      <c r="E4" s="163" t="s">
        <v>6</v>
      </c>
      <c r="F4" s="156" t="s">
        <v>142</v>
      </c>
      <c r="G4" s="164" t="str">
        <f>'Stavební rozpočet'!J4</f>
        <v>Ing Adolf Rosenberg, Česká 148, 360 18 K. Vary-Taš</v>
      </c>
      <c r="H4" s="59"/>
    </row>
    <row r="5" spans="1:8" ht="12.75">
      <c r="A5" s="146"/>
      <c r="B5" s="147"/>
      <c r="C5" s="147"/>
      <c r="D5" s="147"/>
      <c r="E5" s="147"/>
      <c r="F5" s="147"/>
      <c r="G5" s="153"/>
      <c r="H5" s="59"/>
    </row>
    <row r="6" spans="1:8" ht="12.75">
      <c r="A6" s="155" t="s">
        <v>3</v>
      </c>
      <c r="B6" s="147"/>
      <c r="C6" s="156" t="str">
        <f>'Stavební rozpočet'!C6</f>
        <v>JÁCHYMOV - MARIÁNSKÁ  č.p. 161</v>
      </c>
      <c r="D6" s="163" t="s">
        <v>128</v>
      </c>
      <c r="E6" s="163" t="s">
        <v>6</v>
      </c>
      <c r="F6" s="156" t="s">
        <v>143</v>
      </c>
      <c r="G6" s="164" t="str">
        <f>'Stavební rozpočet'!J6</f>
        <v> </v>
      </c>
      <c r="H6" s="59"/>
    </row>
    <row r="7" spans="1:8" ht="12.75">
      <c r="A7" s="146"/>
      <c r="B7" s="147"/>
      <c r="C7" s="147"/>
      <c r="D7" s="147"/>
      <c r="E7" s="147"/>
      <c r="F7" s="147"/>
      <c r="G7" s="153"/>
      <c r="H7" s="59"/>
    </row>
    <row r="8" spans="1:8" ht="12.75">
      <c r="A8" s="155" t="s">
        <v>144</v>
      </c>
      <c r="B8" s="147"/>
      <c r="C8" s="156" t="str">
        <f>'Stavební rozpočet'!J8</f>
        <v>Volek S</v>
      </c>
      <c r="D8" s="163" t="s">
        <v>129</v>
      </c>
      <c r="E8" s="163" t="s">
        <v>131</v>
      </c>
      <c r="F8" s="163" t="s">
        <v>129</v>
      </c>
      <c r="G8" s="164" t="str">
        <f>'Stavební rozpočet'!G8</f>
        <v>09.07.2021</v>
      </c>
      <c r="H8" s="59"/>
    </row>
    <row r="9" spans="1:8" ht="12.75">
      <c r="A9" s="188"/>
      <c r="B9" s="189"/>
      <c r="C9" s="189"/>
      <c r="D9" s="162"/>
      <c r="E9" s="189"/>
      <c r="F9" s="189"/>
      <c r="G9" s="190"/>
      <c r="H9" s="59"/>
    </row>
    <row r="10" spans="1:8" ht="12.75">
      <c r="A10" s="113" t="s">
        <v>193</v>
      </c>
      <c r="B10" s="114" t="s">
        <v>41</v>
      </c>
      <c r="C10" s="115" t="s">
        <v>73</v>
      </c>
      <c r="D10" s="116"/>
      <c r="E10" s="117" t="s">
        <v>194</v>
      </c>
      <c r="F10" s="117" t="s">
        <v>195</v>
      </c>
      <c r="G10" s="117" t="s">
        <v>196</v>
      </c>
      <c r="H10" s="59"/>
    </row>
    <row r="11" spans="1:9" ht="12.75">
      <c r="A11" s="118"/>
      <c r="B11" s="119" t="s">
        <v>37</v>
      </c>
      <c r="C11" s="191" t="s">
        <v>75</v>
      </c>
      <c r="D11" s="147"/>
      <c r="E11" s="120">
        <f>'Stavební rozpočet'!J12</f>
        <v>0</v>
      </c>
      <c r="F11" s="120">
        <f>'Stavební rozpočet'!K12</f>
        <v>0</v>
      </c>
      <c r="G11" s="120">
        <f>'Stavební rozpočet'!L12</f>
        <v>0</v>
      </c>
      <c r="H11" s="86" t="s">
        <v>197</v>
      </c>
      <c r="I11" s="86">
        <f aca="true" t="shared" si="0" ref="I11:I20">IF(H11="F",0,G11)</f>
        <v>0</v>
      </c>
    </row>
    <row r="12" spans="1:9" ht="12.75">
      <c r="A12" s="121"/>
      <c r="B12" s="122" t="s">
        <v>44</v>
      </c>
      <c r="C12" s="163" t="s">
        <v>79</v>
      </c>
      <c r="D12" s="147"/>
      <c r="E12" s="86">
        <f>'Stavební rozpočet'!J16</f>
        <v>0</v>
      </c>
      <c r="F12" s="86">
        <f>'Stavební rozpočet'!K16</f>
        <v>0</v>
      </c>
      <c r="G12" s="86">
        <f>'Stavební rozpočet'!L16</f>
        <v>0</v>
      </c>
      <c r="H12" s="86" t="s">
        <v>197</v>
      </c>
      <c r="I12" s="86">
        <f t="shared" si="0"/>
        <v>0</v>
      </c>
    </row>
    <row r="13" spans="1:9" ht="12.75">
      <c r="A13" s="121"/>
      <c r="B13" s="122" t="s">
        <v>46</v>
      </c>
      <c r="C13" s="163" t="s">
        <v>82</v>
      </c>
      <c r="D13" s="147"/>
      <c r="E13" s="86">
        <f>'Stavební rozpočet'!J19</f>
        <v>0</v>
      </c>
      <c r="F13" s="86">
        <f>'Stavební rozpočet'!K19</f>
        <v>0</v>
      </c>
      <c r="G13" s="86">
        <f>'Stavební rozpočet'!L19</f>
        <v>0</v>
      </c>
      <c r="H13" s="86" t="s">
        <v>197</v>
      </c>
      <c r="I13" s="86">
        <f t="shared" si="0"/>
        <v>0</v>
      </c>
    </row>
    <row r="14" spans="1:9" ht="12.75">
      <c r="A14" s="121"/>
      <c r="B14" s="122" t="s">
        <v>49</v>
      </c>
      <c r="C14" s="163" t="s">
        <v>86</v>
      </c>
      <c r="D14" s="147"/>
      <c r="E14" s="86">
        <f>'Stavební rozpočet'!J24</f>
        <v>0</v>
      </c>
      <c r="F14" s="86">
        <f>'Stavební rozpočet'!K24</f>
        <v>0</v>
      </c>
      <c r="G14" s="86">
        <f>'Stavební rozpočet'!L24</f>
        <v>0</v>
      </c>
      <c r="H14" s="86" t="s">
        <v>197</v>
      </c>
      <c r="I14" s="86">
        <f t="shared" si="0"/>
        <v>0</v>
      </c>
    </row>
    <row r="15" spans="1:9" ht="12.75">
      <c r="A15" s="121"/>
      <c r="B15" s="122" t="s">
        <v>51</v>
      </c>
      <c r="C15" s="163" t="s">
        <v>88</v>
      </c>
      <c r="D15" s="147"/>
      <c r="E15" s="86">
        <f>'Stavební rozpočet'!J26</f>
        <v>0</v>
      </c>
      <c r="F15" s="86">
        <f>'Stavební rozpočet'!K26</f>
        <v>0</v>
      </c>
      <c r="G15" s="86">
        <f>'Stavební rozpočet'!L26</f>
        <v>0</v>
      </c>
      <c r="H15" s="86" t="s">
        <v>197</v>
      </c>
      <c r="I15" s="86">
        <f t="shared" si="0"/>
        <v>0</v>
      </c>
    </row>
    <row r="16" spans="1:9" ht="12.75">
      <c r="A16" s="121"/>
      <c r="B16" s="122" t="s">
        <v>55</v>
      </c>
      <c r="C16" s="163" t="s">
        <v>92</v>
      </c>
      <c r="D16" s="147"/>
      <c r="E16" s="86">
        <f>'Stavební rozpočet'!J30</f>
        <v>0</v>
      </c>
      <c r="F16" s="86">
        <f>'Stavební rozpočet'!K30</f>
        <v>0</v>
      </c>
      <c r="G16" s="86">
        <f>'Stavební rozpočet'!L30</f>
        <v>0</v>
      </c>
      <c r="H16" s="86" t="s">
        <v>197</v>
      </c>
      <c r="I16" s="86">
        <f t="shared" si="0"/>
        <v>0</v>
      </c>
    </row>
    <row r="17" spans="1:9" ht="12.75">
      <c r="A17" s="121"/>
      <c r="B17" s="122" t="s">
        <v>59</v>
      </c>
      <c r="C17" s="163" t="s">
        <v>98</v>
      </c>
      <c r="D17" s="147"/>
      <c r="E17" s="86">
        <f>'Stavební rozpočet'!J36</f>
        <v>0</v>
      </c>
      <c r="F17" s="86">
        <f>'Stavební rozpočet'!K36</f>
        <v>0</v>
      </c>
      <c r="G17" s="86">
        <f>'Stavební rozpočet'!L36</f>
        <v>0</v>
      </c>
      <c r="H17" s="86" t="s">
        <v>197</v>
      </c>
      <c r="I17" s="86">
        <f t="shared" si="0"/>
        <v>0</v>
      </c>
    </row>
    <row r="18" spans="1:9" ht="12.75">
      <c r="A18" s="121"/>
      <c r="B18" s="122" t="s">
        <v>62</v>
      </c>
      <c r="C18" s="163" t="s">
        <v>102</v>
      </c>
      <c r="D18" s="147"/>
      <c r="E18" s="86">
        <f>'Stavební rozpočet'!J41</f>
        <v>0</v>
      </c>
      <c r="F18" s="86">
        <f>'Stavební rozpočet'!K41</f>
        <v>0</v>
      </c>
      <c r="G18" s="86">
        <f>'Stavební rozpočet'!L41</f>
        <v>0</v>
      </c>
      <c r="H18" s="86" t="s">
        <v>197</v>
      </c>
      <c r="I18" s="86">
        <f t="shared" si="0"/>
        <v>0</v>
      </c>
    </row>
    <row r="19" spans="1:9" ht="12.75">
      <c r="A19" s="121"/>
      <c r="B19" s="122" t="s">
        <v>66</v>
      </c>
      <c r="C19" s="163" t="s">
        <v>107</v>
      </c>
      <c r="D19" s="147"/>
      <c r="E19" s="86">
        <f>'Stavební rozpočet'!J46</f>
        <v>0</v>
      </c>
      <c r="F19" s="86">
        <f>'Stavební rozpočet'!K46</f>
        <v>0</v>
      </c>
      <c r="G19" s="86">
        <f>'Stavební rozpočet'!L46</f>
        <v>0</v>
      </c>
      <c r="H19" s="86" t="s">
        <v>197</v>
      </c>
      <c r="I19" s="86">
        <f t="shared" si="0"/>
        <v>0</v>
      </c>
    </row>
    <row r="20" spans="1:9" ht="12.75">
      <c r="A20" s="121"/>
      <c r="B20" s="122" t="s">
        <v>68</v>
      </c>
      <c r="C20" s="163" t="s">
        <v>110</v>
      </c>
      <c r="D20" s="147"/>
      <c r="E20" s="86">
        <f>'Stavební rozpočet'!J49</f>
        <v>0</v>
      </c>
      <c r="F20" s="86">
        <f>'Stavební rozpočet'!K49</f>
        <v>0</v>
      </c>
      <c r="G20" s="86">
        <f>'Stavební rozpočet'!L49</f>
        <v>0</v>
      </c>
      <c r="H20" s="86" t="s">
        <v>197</v>
      </c>
      <c r="I20" s="86">
        <f t="shared" si="0"/>
        <v>0</v>
      </c>
    </row>
    <row r="21" spans="6:7" ht="12.75">
      <c r="F21" s="123" t="s">
        <v>152</v>
      </c>
      <c r="G21" s="124">
        <f>SUM(I11:I20)</f>
        <v>0</v>
      </c>
    </row>
  </sheetData>
  <sheetProtection algorithmName="SHA-512" hashValue="eTmJq2jO6jUbgb/tsHK99wYtnlon7V7ERJbuGkvBudLypJVFTGJ5Z7a1bfbJ7ahDmg7exYajo0jviNVXDIW2vA==" saltValue="nRKp4B4j1ndgsfIoI8JEcw==" spinCount="100000" sheet="1"/>
  <mergeCells count="35">
    <mergeCell ref="G8:G9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workbookViewId="0" topLeftCell="A1">
      <pane ySplit="11" topLeftCell="A60" activePane="bottomLeft" state="frozen"/>
      <selection pane="bottomLeft" activeCell="I13" sqref="I13"/>
    </sheetView>
  </sheetViews>
  <sheetFormatPr defaultColWidth="11.57421875" defaultRowHeight="12.75"/>
  <cols>
    <col min="1" max="1" width="3.7109375" style="58" customWidth="1"/>
    <col min="2" max="2" width="14.28125" style="58" customWidth="1"/>
    <col min="3" max="3" width="31.28125" style="58" customWidth="1"/>
    <col min="4" max="4" width="37.57421875" style="58" customWidth="1"/>
    <col min="5" max="5" width="1.28515625" style="58" customWidth="1"/>
    <col min="6" max="6" width="30.421875" style="58" customWidth="1"/>
    <col min="7" max="7" width="6.421875" style="58" customWidth="1"/>
    <col min="8" max="8" width="12.8515625" style="58" customWidth="1"/>
    <col min="9" max="9" width="12.00390625" style="58" customWidth="1"/>
    <col min="10" max="12" width="14.28125" style="58" customWidth="1"/>
    <col min="13" max="13" width="11.7109375" style="58" customWidth="1"/>
    <col min="14" max="24" width="11.57421875" style="58" customWidth="1"/>
    <col min="25" max="64" width="12.140625" style="58" hidden="1" customWidth="1"/>
    <col min="65" max="16384" width="11.57421875" style="58" customWidth="1"/>
  </cols>
  <sheetData>
    <row r="1" spans="1:13" ht="72.9" customHeight="1">
      <c r="A1" s="18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2.75">
      <c r="A2" s="144" t="s">
        <v>1</v>
      </c>
      <c r="B2" s="145"/>
      <c r="C2" s="148" t="s">
        <v>70</v>
      </c>
      <c r="D2" s="149"/>
      <c r="E2" s="186" t="s">
        <v>126</v>
      </c>
      <c r="F2" s="145"/>
      <c r="G2" s="186" t="s">
        <v>6</v>
      </c>
      <c r="H2" s="145"/>
      <c r="I2" s="151" t="s">
        <v>141</v>
      </c>
      <c r="J2" s="186" t="s">
        <v>147</v>
      </c>
      <c r="K2" s="145"/>
      <c r="L2" s="145"/>
      <c r="M2" s="192"/>
      <c r="N2" s="59"/>
    </row>
    <row r="3" spans="1:14" ht="12.75">
      <c r="A3" s="146"/>
      <c r="B3" s="147"/>
      <c r="C3" s="150"/>
      <c r="D3" s="150"/>
      <c r="E3" s="147"/>
      <c r="F3" s="147"/>
      <c r="G3" s="147"/>
      <c r="H3" s="147"/>
      <c r="I3" s="147"/>
      <c r="J3" s="147"/>
      <c r="K3" s="147"/>
      <c r="L3" s="147"/>
      <c r="M3" s="153"/>
      <c r="N3" s="59"/>
    </row>
    <row r="4" spans="1:14" ht="12.75">
      <c r="A4" s="155" t="s">
        <v>2</v>
      </c>
      <c r="B4" s="147"/>
      <c r="C4" s="156" t="s">
        <v>71</v>
      </c>
      <c r="D4" s="147"/>
      <c r="E4" s="163" t="s">
        <v>127</v>
      </c>
      <c r="F4" s="147"/>
      <c r="G4" s="163" t="s">
        <v>6</v>
      </c>
      <c r="H4" s="147"/>
      <c r="I4" s="156" t="s">
        <v>142</v>
      </c>
      <c r="J4" s="156" t="s">
        <v>148</v>
      </c>
      <c r="K4" s="147"/>
      <c r="L4" s="147"/>
      <c r="M4" s="153"/>
      <c r="N4" s="59"/>
    </row>
    <row r="5" spans="1:14" ht="12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53"/>
      <c r="N5" s="59"/>
    </row>
    <row r="6" spans="1:14" ht="12.75">
      <c r="A6" s="155" t="s">
        <v>3</v>
      </c>
      <c r="B6" s="147"/>
      <c r="C6" s="156" t="s">
        <v>72</v>
      </c>
      <c r="D6" s="147"/>
      <c r="E6" s="163" t="s">
        <v>128</v>
      </c>
      <c r="F6" s="147"/>
      <c r="G6" s="163" t="s">
        <v>6</v>
      </c>
      <c r="H6" s="147"/>
      <c r="I6" s="156" t="s">
        <v>143</v>
      </c>
      <c r="J6" s="163" t="s">
        <v>147</v>
      </c>
      <c r="K6" s="147"/>
      <c r="L6" s="147"/>
      <c r="M6" s="153"/>
      <c r="N6" s="59"/>
    </row>
    <row r="7" spans="1:14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53"/>
      <c r="N7" s="59"/>
    </row>
    <row r="8" spans="1:14" ht="12.75">
      <c r="A8" s="155" t="s">
        <v>4</v>
      </c>
      <c r="B8" s="147"/>
      <c r="C8" s="156">
        <v>801</v>
      </c>
      <c r="D8" s="147"/>
      <c r="E8" s="163" t="s">
        <v>129</v>
      </c>
      <c r="F8" s="147"/>
      <c r="G8" s="163" t="s">
        <v>131</v>
      </c>
      <c r="H8" s="147"/>
      <c r="I8" s="156" t="s">
        <v>144</v>
      </c>
      <c r="J8" s="156" t="s">
        <v>149</v>
      </c>
      <c r="K8" s="147"/>
      <c r="L8" s="147"/>
      <c r="M8" s="153"/>
      <c r="N8" s="59"/>
    </row>
    <row r="9" spans="1:14" ht="12.75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59"/>
    </row>
    <row r="10" spans="1:64" ht="12.75">
      <c r="A10" s="60" t="s">
        <v>5</v>
      </c>
      <c r="B10" s="61" t="s">
        <v>41</v>
      </c>
      <c r="C10" s="193" t="s">
        <v>73</v>
      </c>
      <c r="D10" s="194"/>
      <c r="E10" s="194"/>
      <c r="F10" s="195"/>
      <c r="G10" s="61" t="s">
        <v>132</v>
      </c>
      <c r="H10" s="62" t="s">
        <v>140</v>
      </c>
      <c r="I10" s="63" t="s">
        <v>145</v>
      </c>
      <c r="J10" s="196" t="s">
        <v>150</v>
      </c>
      <c r="K10" s="197"/>
      <c r="L10" s="198"/>
      <c r="M10" s="64" t="s">
        <v>155</v>
      </c>
      <c r="N10" s="65"/>
      <c r="BK10" s="66" t="s">
        <v>188</v>
      </c>
      <c r="BL10" s="67" t="s">
        <v>191</v>
      </c>
    </row>
    <row r="11" spans="1:62" ht="12.75">
      <c r="A11" s="68" t="s">
        <v>6</v>
      </c>
      <c r="B11" s="69" t="s">
        <v>6</v>
      </c>
      <c r="C11" s="199" t="s">
        <v>74</v>
      </c>
      <c r="D11" s="200"/>
      <c r="E11" s="200"/>
      <c r="F11" s="201"/>
      <c r="G11" s="69" t="s">
        <v>6</v>
      </c>
      <c r="H11" s="69" t="s">
        <v>6</v>
      </c>
      <c r="I11" s="70" t="s">
        <v>146</v>
      </c>
      <c r="J11" s="71" t="s">
        <v>151</v>
      </c>
      <c r="K11" s="72" t="s">
        <v>153</v>
      </c>
      <c r="L11" s="73" t="s">
        <v>154</v>
      </c>
      <c r="M11" s="74" t="s">
        <v>156</v>
      </c>
      <c r="N11" s="65"/>
      <c r="Z11" s="66" t="s">
        <v>159</v>
      </c>
      <c r="AA11" s="66" t="s">
        <v>160</v>
      </c>
      <c r="AB11" s="66" t="s">
        <v>161</v>
      </c>
      <c r="AC11" s="66" t="s">
        <v>162</v>
      </c>
      <c r="AD11" s="66" t="s">
        <v>163</v>
      </c>
      <c r="AE11" s="66" t="s">
        <v>164</v>
      </c>
      <c r="AF11" s="66" t="s">
        <v>165</v>
      </c>
      <c r="AG11" s="66" t="s">
        <v>166</v>
      </c>
      <c r="AH11" s="66" t="s">
        <v>167</v>
      </c>
      <c r="BH11" s="66" t="s">
        <v>185</v>
      </c>
      <c r="BI11" s="66" t="s">
        <v>186</v>
      </c>
      <c r="BJ11" s="66" t="s">
        <v>187</v>
      </c>
    </row>
    <row r="12" spans="1:47" ht="12.75">
      <c r="A12" s="75"/>
      <c r="B12" s="76" t="s">
        <v>37</v>
      </c>
      <c r="C12" s="202" t="s">
        <v>75</v>
      </c>
      <c r="D12" s="203"/>
      <c r="E12" s="203"/>
      <c r="F12" s="203"/>
      <c r="G12" s="77" t="s">
        <v>6</v>
      </c>
      <c r="H12" s="77" t="s">
        <v>6</v>
      </c>
      <c r="I12" s="77" t="s">
        <v>6</v>
      </c>
      <c r="J12" s="78">
        <f>SUM(J13:J15)</f>
        <v>0</v>
      </c>
      <c r="K12" s="78">
        <f>SUM(K13:K15)</f>
        <v>0</v>
      </c>
      <c r="L12" s="78">
        <f>SUM(L13:L15)</f>
        <v>0</v>
      </c>
      <c r="M12" s="79"/>
      <c r="N12" s="59"/>
      <c r="AI12" s="66"/>
      <c r="AS12" s="80">
        <f>SUM(AJ13:AJ15)</f>
        <v>0</v>
      </c>
      <c r="AT12" s="80">
        <f>SUM(AK13:AK15)</f>
        <v>0</v>
      </c>
      <c r="AU12" s="80">
        <f>SUM(AL13:AL15)</f>
        <v>0</v>
      </c>
    </row>
    <row r="13" spans="1:64" ht="12.75">
      <c r="A13" s="81" t="s">
        <v>7</v>
      </c>
      <c r="B13" s="82" t="s">
        <v>42</v>
      </c>
      <c r="C13" s="204" t="s">
        <v>76</v>
      </c>
      <c r="D13" s="205"/>
      <c r="E13" s="205"/>
      <c r="F13" s="205"/>
      <c r="G13" s="82" t="s">
        <v>133</v>
      </c>
      <c r="H13" s="83">
        <v>1.9</v>
      </c>
      <c r="I13" s="111">
        <v>0</v>
      </c>
      <c r="J13" s="84">
        <f>H13*AO13</f>
        <v>0</v>
      </c>
      <c r="K13" s="84">
        <f>H13*AP13</f>
        <v>0</v>
      </c>
      <c r="L13" s="84">
        <f>H13*I13</f>
        <v>0</v>
      </c>
      <c r="M13" s="85" t="s">
        <v>157</v>
      </c>
      <c r="N13" s="59"/>
      <c r="Z13" s="86">
        <f>IF(AQ13="5",BJ13,0)</f>
        <v>0</v>
      </c>
      <c r="AB13" s="86">
        <f>IF(AQ13="1",BH13,0)</f>
        <v>0</v>
      </c>
      <c r="AC13" s="86">
        <f>IF(AQ13="1",BI13,0)</f>
        <v>0</v>
      </c>
      <c r="AD13" s="86">
        <f>IF(AQ13="7",BH13,0)</f>
        <v>0</v>
      </c>
      <c r="AE13" s="86">
        <f>IF(AQ13="7",BI13,0)</f>
        <v>0</v>
      </c>
      <c r="AF13" s="86">
        <f>IF(AQ13="2",BH13,0)</f>
        <v>0</v>
      </c>
      <c r="AG13" s="86">
        <f>IF(AQ13="2",BI13,0)</f>
        <v>0</v>
      </c>
      <c r="AH13" s="86">
        <f>IF(AQ13="0",BJ13,0)</f>
        <v>0</v>
      </c>
      <c r="AI13" s="66"/>
      <c r="AJ13" s="84">
        <f>IF(AN13=0,L13,0)</f>
        <v>0</v>
      </c>
      <c r="AK13" s="84">
        <f>IF(AN13=15,L13,0)</f>
        <v>0</v>
      </c>
      <c r="AL13" s="84">
        <f>IF(AN13=21,L13,0)</f>
        <v>0</v>
      </c>
      <c r="AN13" s="86">
        <v>15</v>
      </c>
      <c r="AO13" s="86">
        <f>I13*0.609161157024793</f>
        <v>0</v>
      </c>
      <c r="AP13" s="86">
        <f>I13*(1-0.609161157024793)</f>
        <v>0</v>
      </c>
      <c r="AQ13" s="87" t="s">
        <v>7</v>
      </c>
      <c r="AV13" s="86">
        <f>AW13+AX13</f>
        <v>0</v>
      </c>
      <c r="AW13" s="86">
        <f>H13*AO13</f>
        <v>0</v>
      </c>
      <c r="AX13" s="86">
        <f>H13*AP13</f>
        <v>0</v>
      </c>
      <c r="AY13" s="88" t="s">
        <v>168</v>
      </c>
      <c r="AZ13" s="88" t="s">
        <v>178</v>
      </c>
      <c r="BA13" s="66" t="s">
        <v>184</v>
      </c>
      <c r="BC13" s="86">
        <f>AW13+AX13</f>
        <v>0</v>
      </c>
      <c r="BD13" s="86">
        <f>I13/(100-BE13)*100</f>
        <v>0</v>
      </c>
      <c r="BE13" s="86">
        <v>0</v>
      </c>
      <c r="BF13" s="86">
        <f>13</f>
        <v>13</v>
      </c>
      <c r="BH13" s="84">
        <f>H13*AO13</f>
        <v>0</v>
      </c>
      <c r="BI13" s="84">
        <f>H13*AP13</f>
        <v>0</v>
      </c>
      <c r="BJ13" s="84">
        <f>H13*I13</f>
        <v>0</v>
      </c>
      <c r="BK13" s="84" t="s">
        <v>189</v>
      </c>
      <c r="BL13" s="86">
        <v>31</v>
      </c>
    </row>
    <row r="14" spans="1:14" ht="12.75">
      <c r="A14" s="59"/>
      <c r="C14" s="89" t="s">
        <v>77</v>
      </c>
      <c r="F14" s="90" t="s">
        <v>130</v>
      </c>
      <c r="H14" s="91">
        <v>1.9</v>
      </c>
      <c r="M14" s="92"/>
      <c r="N14" s="59"/>
    </row>
    <row r="15" spans="1:64" ht="12.75">
      <c r="A15" s="81" t="s">
        <v>8</v>
      </c>
      <c r="B15" s="82" t="s">
        <v>43</v>
      </c>
      <c r="C15" s="204" t="s">
        <v>78</v>
      </c>
      <c r="D15" s="205"/>
      <c r="E15" s="205"/>
      <c r="F15" s="205"/>
      <c r="G15" s="82" t="s">
        <v>134</v>
      </c>
      <c r="H15" s="83">
        <v>2</v>
      </c>
      <c r="I15" s="111">
        <v>0</v>
      </c>
      <c r="J15" s="84">
        <f>H15*AO15</f>
        <v>0</v>
      </c>
      <c r="K15" s="84">
        <f>H15*AP15</f>
        <v>0</v>
      </c>
      <c r="L15" s="84">
        <f>H15*I15</f>
        <v>0</v>
      </c>
      <c r="M15" s="85" t="s">
        <v>157</v>
      </c>
      <c r="N15" s="59"/>
      <c r="Z15" s="86">
        <f>IF(AQ15="5",BJ15,0)</f>
        <v>0</v>
      </c>
      <c r="AB15" s="86">
        <f>IF(AQ15="1",BH15,0)</f>
        <v>0</v>
      </c>
      <c r="AC15" s="86">
        <f>IF(AQ15="1",BI15,0)</f>
        <v>0</v>
      </c>
      <c r="AD15" s="86">
        <f>IF(AQ15="7",BH15,0)</f>
        <v>0</v>
      </c>
      <c r="AE15" s="86">
        <f>IF(AQ15="7",BI15,0)</f>
        <v>0</v>
      </c>
      <c r="AF15" s="86">
        <f>IF(AQ15="2",BH15,0)</f>
        <v>0</v>
      </c>
      <c r="AG15" s="86">
        <f>IF(AQ15="2",BI15,0)</f>
        <v>0</v>
      </c>
      <c r="AH15" s="86">
        <f>IF(AQ15="0",BJ15,0)</f>
        <v>0</v>
      </c>
      <c r="AI15" s="66"/>
      <c r="AJ15" s="84">
        <f>IF(AN15=0,L15,0)</f>
        <v>0</v>
      </c>
      <c r="AK15" s="84">
        <f>IF(AN15=15,L15,0)</f>
        <v>0</v>
      </c>
      <c r="AL15" s="84">
        <f>IF(AN15=21,L15,0)</f>
        <v>0</v>
      </c>
      <c r="AN15" s="86">
        <v>15</v>
      </c>
      <c r="AO15" s="86">
        <f>I15*0.884246305418719</f>
        <v>0</v>
      </c>
      <c r="AP15" s="86">
        <f>I15*(1-0.884246305418719)</f>
        <v>0</v>
      </c>
      <c r="AQ15" s="87" t="s">
        <v>7</v>
      </c>
      <c r="AV15" s="86">
        <f>AW15+AX15</f>
        <v>0</v>
      </c>
      <c r="AW15" s="86">
        <f>H15*AO15</f>
        <v>0</v>
      </c>
      <c r="AX15" s="86">
        <f>H15*AP15</f>
        <v>0</v>
      </c>
      <c r="AY15" s="88" t="s">
        <v>168</v>
      </c>
      <c r="AZ15" s="88" t="s">
        <v>178</v>
      </c>
      <c r="BA15" s="66" t="s">
        <v>184</v>
      </c>
      <c r="BC15" s="86">
        <f>AW15+AX15</f>
        <v>0</v>
      </c>
      <c r="BD15" s="86">
        <f>I15/(100-BE15)*100</f>
        <v>0</v>
      </c>
      <c r="BE15" s="86">
        <v>0</v>
      </c>
      <c r="BF15" s="86">
        <f>15</f>
        <v>15</v>
      </c>
      <c r="BH15" s="84">
        <f>H15*AO15</f>
        <v>0</v>
      </c>
      <c r="BI15" s="84">
        <f>H15*AP15</f>
        <v>0</v>
      </c>
      <c r="BJ15" s="84">
        <f>H15*I15</f>
        <v>0</v>
      </c>
      <c r="BK15" s="84" t="s">
        <v>189</v>
      </c>
      <c r="BL15" s="86">
        <v>31</v>
      </c>
    </row>
    <row r="16" spans="1:47" ht="12.75">
      <c r="A16" s="93"/>
      <c r="B16" s="94" t="s">
        <v>44</v>
      </c>
      <c r="C16" s="206" t="s">
        <v>79</v>
      </c>
      <c r="D16" s="207"/>
      <c r="E16" s="207"/>
      <c r="F16" s="207"/>
      <c r="G16" s="95" t="s">
        <v>6</v>
      </c>
      <c r="H16" s="95" t="s">
        <v>6</v>
      </c>
      <c r="I16" s="95" t="s">
        <v>6</v>
      </c>
      <c r="J16" s="80">
        <f>SUM(J17:J17)</f>
        <v>0</v>
      </c>
      <c r="K16" s="80">
        <f>SUM(K17:K17)</f>
        <v>0</v>
      </c>
      <c r="L16" s="80">
        <f>SUM(L17:L17)</f>
        <v>0</v>
      </c>
      <c r="M16" s="96"/>
      <c r="N16" s="59"/>
      <c r="AI16" s="66"/>
      <c r="AS16" s="80">
        <f>SUM(AJ17:AJ17)</f>
        <v>0</v>
      </c>
      <c r="AT16" s="80">
        <f>SUM(AK17:AK17)</f>
        <v>0</v>
      </c>
      <c r="AU16" s="80">
        <f>SUM(AL17:AL17)</f>
        <v>0</v>
      </c>
    </row>
    <row r="17" spans="1:64" ht="12.75">
      <c r="A17" s="81" t="s">
        <v>9</v>
      </c>
      <c r="B17" s="82" t="s">
        <v>45</v>
      </c>
      <c r="C17" s="204" t="s">
        <v>80</v>
      </c>
      <c r="D17" s="205"/>
      <c r="E17" s="205"/>
      <c r="F17" s="205"/>
      <c r="G17" s="82" t="s">
        <v>135</v>
      </c>
      <c r="H17" s="83">
        <v>8.585</v>
      </c>
      <c r="I17" s="111">
        <v>0</v>
      </c>
      <c r="J17" s="84">
        <f>H17*AO17</f>
        <v>0</v>
      </c>
      <c r="K17" s="84">
        <f>H17*AP17</f>
        <v>0</v>
      </c>
      <c r="L17" s="84">
        <f>H17*I17</f>
        <v>0</v>
      </c>
      <c r="M17" s="85" t="s">
        <v>157</v>
      </c>
      <c r="N17" s="59"/>
      <c r="Z17" s="86">
        <f>IF(AQ17="5",BJ17,0)</f>
        <v>0</v>
      </c>
      <c r="AB17" s="86">
        <f>IF(AQ17="1",BH17,0)</f>
        <v>0</v>
      </c>
      <c r="AC17" s="86">
        <f>IF(AQ17="1",BI17,0)</f>
        <v>0</v>
      </c>
      <c r="AD17" s="86">
        <f>IF(AQ17="7",BH17,0)</f>
        <v>0</v>
      </c>
      <c r="AE17" s="86">
        <f>IF(AQ17="7",BI17,0)</f>
        <v>0</v>
      </c>
      <c r="AF17" s="86">
        <f>IF(AQ17="2",BH17,0)</f>
        <v>0</v>
      </c>
      <c r="AG17" s="86">
        <f>IF(AQ17="2",BI17,0)</f>
        <v>0</v>
      </c>
      <c r="AH17" s="86">
        <f>IF(AQ17="0",BJ17,0)</f>
        <v>0</v>
      </c>
      <c r="AI17" s="66"/>
      <c r="AJ17" s="84">
        <f>IF(AN17=0,L17,0)</f>
        <v>0</v>
      </c>
      <c r="AK17" s="84">
        <f>IF(AN17=15,L17,0)</f>
        <v>0</v>
      </c>
      <c r="AL17" s="84">
        <f>IF(AN17=21,L17,0)</f>
        <v>0</v>
      </c>
      <c r="AN17" s="86">
        <v>15</v>
      </c>
      <c r="AO17" s="86">
        <f>I17*0.10380117177344</f>
        <v>0</v>
      </c>
      <c r="AP17" s="86">
        <f>I17*(1-0.10380117177344)</f>
        <v>0</v>
      </c>
      <c r="AQ17" s="87" t="s">
        <v>7</v>
      </c>
      <c r="AV17" s="86">
        <f>AW17+AX17</f>
        <v>0</v>
      </c>
      <c r="AW17" s="86">
        <f>H17*AO17</f>
        <v>0</v>
      </c>
      <c r="AX17" s="86">
        <f>H17*AP17</f>
        <v>0</v>
      </c>
      <c r="AY17" s="88" t="s">
        <v>169</v>
      </c>
      <c r="AZ17" s="88" t="s">
        <v>179</v>
      </c>
      <c r="BA17" s="66" t="s">
        <v>184</v>
      </c>
      <c r="BC17" s="86">
        <f>AW17+AX17</f>
        <v>0</v>
      </c>
      <c r="BD17" s="86">
        <f>I17/(100-BE17)*100</f>
        <v>0</v>
      </c>
      <c r="BE17" s="86">
        <v>0</v>
      </c>
      <c r="BF17" s="86">
        <f>17</f>
        <v>17</v>
      </c>
      <c r="BH17" s="84">
        <f>H17*AO17</f>
        <v>0</v>
      </c>
      <c r="BI17" s="84">
        <f>H17*AP17</f>
        <v>0</v>
      </c>
      <c r="BJ17" s="84">
        <f>H17*I17</f>
        <v>0</v>
      </c>
      <c r="BK17" s="84" t="s">
        <v>189</v>
      </c>
      <c r="BL17" s="86">
        <v>61</v>
      </c>
    </row>
    <row r="18" spans="1:14" ht="12.75">
      <c r="A18" s="59"/>
      <c r="C18" s="89" t="s">
        <v>81</v>
      </c>
      <c r="F18" s="90" t="s">
        <v>130</v>
      </c>
      <c r="H18" s="91">
        <v>8.585</v>
      </c>
      <c r="M18" s="92"/>
      <c r="N18" s="59"/>
    </row>
    <row r="19" spans="1:47" ht="12.75">
      <c r="A19" s="93"/>
      <c r="B19" s="94" t="s">
        <v>46</v>
      </c>
      <c r="C19" s="206" t="s">
        <v>82</v>
      </c>
      <c r="D19" s="207"/>
      <c r="E19" s="207"/>
      <c r="F19" s="207"/>
      <c r="G19" s="95" t="s">
        <v>6</v>
      </c>
      <c r="H19" s="95" t="s">
        <v>6</v>
      </c>
      <c r="I19" s="95" t="s">
        <v>6</v>
      </c>
      <c r="J19" s="80">
        <f>SUM(J20:J22)</f>
        <v>0</v>
      </c>
      <c r="K19" s="80">
        <f>SUM(K20:K22)</f>
        <v>0</v>
      </c>
      <c r="L19" s="80">
        <f>SUM(L20:L22)</f>
        <v>0</v>
      </c>
      <c r="M19" s="96"/>
      <c r="N19" s="59"/>
      <c r="AI19" s="66"/>
      <c r="AS19" s="80">
        <f>SUM(AJ20:AJ22)</f>
        <v>0</v>
      </c>
      <c r="AT19" s="80">
        <f>SUM(AK20:AK22)</f>
        <v>0</v>
      </c>
      <c r="AU19" s="80">
        <f>SUM(AL20:AL22)</f>
        <v>0</v>
      </c>
    </row>
    <row r="20" spans="1:64" ht="12.75">
      <c r="A20" s="81" t="s">
        <v>10</v>
      </c>
      <c r="B20" s="82" t="s">
        <v>47</v>
      </c>
      <c r="C20" s="204" t="s">
        <v>83</v>
      </c>
      <c r="D20" s="205"/>
      <c r="E20" s="205"/>
      <c r="F20" s="205"/>
      <c r="G20" s="82" t="s">
        <v>135</v>
      </c>
      <c r="H20" s="83">
        <v>6.335</v>
      </c>
      <c r="I20" s="111">
        <v>0</v>
      </c>
      <c r="J20" s="84">
        <f>H20*AO20</f>
        <v>0</v>
      </c>
      <c r="K20" s="84">
        <f>H20*AP20</f>
        <v>0</v>
      </c>
      <c r="L20" s="84">
        <f>H20*I20</f>
        <v>0</v>
      </c>
      <c r="M20" s="85" t="s">
        <v>157</v>
      </c>
      <c r="N20" s="59"/>
      <c r="Z20" s="86">
        <f>IF(AQ20="5",BJ20,0)</f>
        <v>0</v>
      </c>
      <c r="AB20" s="86">
        <f>IF(AQ20="1",BH20,0)</f>
        <v>0</v>
      </c>
      <c r="AC20" s="86">
        <f>IF(AQ20="1",BI20,0)</f>
        <v>0</v>
      </c>
      <c r="AD20" s="86">
        <f>IF(AQ20="7",BH20,0)</f>
        <v>0</v>
      </c>
      <c r="AE20" s="86">
        <f>IF(AQ20="7",BI20,0)</f>
        <v>0</v>
      </c>
      <c r="AF20" s="86">
        <f>IF(AQ20="2",BH20,0)</f>
        <v>0</v>
      </c>
      <c r="AG20" s="86">
        <f>IF(AQ20="2",BI20,0)</f>
        <v>0</v>
      </c>
      <c r="AH20" s="86">
        <f>IF(AQ20="0",BJ20,0)</f>
        <v>0</v>
      </c>
      <c r="AI20" s="66"/>
      <c r="AJ20" s="84">
        <f>IF(AN20=0,L20,0)</f>
        <v>0</v>
      </c>
      <c r="AK20" s="84">
        <f>IF(AN20=15,L20,0)</f>
        <v>0</v>
      </c>
      <c r="AL20" s="84">
        <f>IF(AN20=21,L20,0)</f>
        <v>0</v>
      </c>
      <c r="AN20" s="86">
        <v>15</v>
      </c>
      <c r="AO20" s="86">
        <f>I20*0.0980854011406389</f>
        <v>0</v>
      </c>
      <c r="AP20" s="86">
        <f>I20*(1-0.0980854011406389)</f>
        <v>0</v>
      </c>
      <c r="AQ20" s="87" t="s">
        <v>7</v>
      </c>
      <c r="AV20" s="86">
        <f>AW20+AX20</f>
        <v>0</v>
      </c>
      <c r="AW20" s="86">
        <f>H20*AO20</f>
        <v>0</v>
      </c>
      <c r="AX20" s="86">
        <f>H20*AP20</f>
        <v>0</v>
      </c>
      <c r="AY20" s="88" t="s">
        <v>170</v>
      </c>
      <c r="AZ20" s="88" t="s">
        <v>179</v>
      </c>
      <c r="BA20" s="66" t="s">
        <v>184</v>
      </c>
      <c r="BC20" s="86">
        <f>AW20+AX20</f>
        <v>0</v>
      </c>
      <c r="BD20" s="86">
        <f>I20/(100-BE20)*100</f>
        <v>0</v>
      </c>
      <c r="BE20" s="86">
        <v>0</v>
      </c>
      <c r="BF20" s="86">
        <f>20</f>
        <v>20</v>
      </c>
      <c r="BH20" s="84">
        <f>H20*AO20</f>
        <v>0</v>
      </c>
      <c r="BI20" s="84">
        <f>H20*AP20</f>
        <v>0</v>
      </c>
      <c r="BJ20" s="84">
        <f>H20*I20</f>
        <v>0</v>
      </c>
      <c r="BK20" s="84" t="s">
        <v>189</v>
      </c>
      <c r="BL20" s="86">
        <v>62</v>
      </c>
    </row>
    <row r="21" spans="1:14" ht="12.75">
      <c r="A21" s="59"/>
      <c r="C21" s="89" t="s">
        <v>84</v>
      </c>
      <c r="F21" s="90" t="s">
        <v>130</v>
      </c>
      <c r="H21" s="91">
        <v>6.335</v>
      </c>
      <c r="M21" s="92"/>
      <c r="N21" s="59"/>
    </row>
    <row r="22" spans="1:64" ht="12.75">
      <c r="A22" s="81" t="s">
        <v>11</v>
      </c>
      <c r="B22" s="82" t="s">
        <v>48</v>
      </c>
      <c r="C22" s="204" t="s">
        <v>85</v>
      </c>
      <c r="D22" s="205"/>
      <c r="E22" s="205"/>
      <c r="F22" s="205"/>
      <c r="G22" s="82" t="s">
        <v>135</v>
      </c>
      <c r="H22" s="83">
        <v>6.335</v>
      </c>
      <c r="I22" s="111">
        <v>0</v>
      </c>
      <c r="J22" s="84">
        <f>H22*AO22</f>
        <v>0</v>
      </c>
      <c r="K22" s="84">
        <f>H22*AP22</f>
        <v>0</v>
      </c>
      <c r="L22" s="84">
        <f>H22*I22</f>
        <v>0</v>
      </c>
      <c r="M22" s="85" t="s">
        <v>157</v>
      </c>
      <c r="N22" s="59"/>
      <c r="Z22" s="86">
        <f>IF(AQ22="5",BJ22,0)</f>
        <v>0</v>
      </c>
      <c r="AB22" s="86">
        <f>IF(AQ22="1",BH22,0)</f>
        <v>0</v>
      </c>
      <c r="AC22" s="86">
        <f>IF(AQ22="1",BI22,0)</f>
        <v>0</v>
      </c>
      <c r="AD22" s="86">
        <f>IF(AQ22="7",BH22,0)</f>
        <v>0</v>
      </c>
      <c r="AE22" s="86">
        <f>IF(AQ22="7",BI22,0)</f>
        <v>0</v>
      </c>
      <c r="AF22" s="86">
        <f>IF(AQ22="2",BH22,0)</f>
        <v>0</v>
      </c>
      <c r="AG22" s="86">
        <f>IF(AQ22="2",BI22,0)</f>
        <v>0</v>
      </c>
      <c r="AH22" s="86">
        <f>IF(AQ22="0",BJ22,0)</f>
        <v>0</v>
      </c>
      <c r="AI22" s="66"/>
      <c r="AJ22" s="84">
        <f>IF(AN22=0,L22,0)</f>
        <v>0</v>
      </c>
      <c r="AK22" s="84">
        <f>IF(AN22=15,L22,0)</f>
        <v>0</v>
      </c>
      <c r="AL22" s="84">
        <f>IF(AN22=21,L22,0)</f>
        <v>0</v>
      </c>
      <c r="AN22" s="86">
        <v>15</v>
      </c>
      <c r="AO22" s="86">
        <f>I22*0.539374577814326</f>
        <v>0</v>
      </c>
      <c r="AP22" s="86">
        <f>I22*(1-0.539374577814326)</f>
        <v>0</v>
      </c>
      <c r="AQ22" s="87" t="s">
        <v>7</v>
      </c>
      <c r="AV22" s="86">
        <f>AW22+AX22</f>
        <v>0</v>
      </c>
      <c r="AW22" s="86">
        <f>H22*AO22</f>
        <v>0</v>
      </c>
      <c r="AX22" s="86">
        <f>H22*AP22</f>
        <v>0</v>
      </c>
      <c r="AY22" s="88" t="s">
        <v>170</v>
      </c>
      <c r="AZ22" s="88" t="s">
        <v>179</v>
      </c>
      <c r="BA22" s="66" t="s">
        <v>184</v>
      </c>
      <c r="BC22" s="86">
        <f>AW22+AX22</f>
        <v>0</v>
      </c>
      <c r="BD22" s="86">
        <f>I22/(100-BE22)*100</f>
        <v>0</v>
      </c>
      <c r="BE22" s="86">
        <v>0</v>
      </c>
      <c r="BF22" s="86">
        <f>22</f>
        <v>22</v>
      </c>
      <c r="BH22" s="84">
        <f>H22*AO22</f>
        <v>0</v>
      </c>
      <c r="BI22" s="84">
        <f>H22*AP22</f>
        <v>0</v>
      </c>
      <c r="BJ22" s="84">
        <f>H22*I22</f>
        <v>0</v>
      </c>
      <c r="BK22" s="84" t="s">
        <v>189</v>
      </c>
      <c r="BL22" s="86">
        <v>62</v>
      </c>
    </row>
    <row r="23" spans="1:14" ht="12.75">
      <c r="A23" s="59"/>
      <c r="C23" s="89" t="s">
        <v>84</v>
      </c>
      <c r="F23" s="90" t="s">
        <v>130</v>
      </c>
      <c r="H23" s="91">
        <v>6.335</v>
      </c>
      <c r="M23" s="92"/>
      <c r="N23" s="59"/>
    </row>
    <row r="24" spans="1:47" ht="12.75">
      <c r="A24" s="93"/>
      <c r="B24" s="94" t="s">
        <v>49</v>
      </c>
      <c r="C24" s="206" t="s">
        <v>86</v>
      </c>
      <c r="D24" s="207"/>
      <c r="E24" s="207"/>
      <c r="F24" s="207"/>
      <c r="G24" s="95" t="s">
        <v>6</v>
      </c>
      <c r="H24" s="95" t="s">
        <v>6</v>
      </c>
      <c r="I24" s="95" t="s">
        <v>6</v>
      </c>
      <c r="J24" s="80">
        <f>SUM(J25:J25)</f>
        <v>0</v>
      </c>
      <c r="K24" s="80">
        <f>SUM(K25:K25)</f>
        <v>0</v>
      </c>
      <c r="L24" s="80">
        <f>SUM(L25:L25)</f>
        <v>0</v>
      </c>
      <c r="M24" s="96"/>
      <c r="N24" s="59"/>
      <c r="AI24" s="66"/>
      <c r="AS24" s="80">
        <f>SUM(AJ25:AJ25)</f>
        <v>0</v>
      </c>
      <c r="AT24" s="80">
        <f>SUM(AK25:AK25)</f>
        <v>0</v>
      </c>
      <c r="AU24" s="80">
        <f>SUM(AL25:AL25)</f>
        <v>0</v>
      </c>
    </row>
    <row r="25" spans="1:64" ht="12.75">
      <c r="A25" s="81" t="s">
        <v>12</v>
      </c>
      <c r="B25" s="82" t="s">
        <v>50</v>
      </c>
      <c r="C25" s="204" t="s">
        <v>87</v>
      </c>
      <c r="D25" s="205"/>
      <c r="E25" s="205"/>
      <c r="F25" s="205"/>
      <c r="G25" s="82" t="s">
        <v>134</v>
      </c>
      <c r="H25" s="83">
        <v>1</v>
      </c>
      <c r="I25" s="111">
        <v>0</v>
      </c>
      <c r="J25" s="84">
        <f>H25*AO25</f>
        <v>0</v>
      </c>
      <c r="K25" s="84">
        <f>H25*AP25</f>
        <v>0</v>
      </c>
      <c r="L25" s="84">
        <f>H25*I25</f>
        <v>0</v>
      </c>
      <c r="M25" s="85" t="s">
        <v>157</v>
      </c>
      <c r="N25" s="59"/>
      <c r="Z25" s="86">
        <f>IF(AQ25="5",BJ25,0)</f>
        <v>0</v>
      </c>
      <c r="AB25" s="86">
        <f>IF(AQ25="1",BH25,0)</f>
        <v>0</v>
      </c>
      <c r="AC25" s="86">
        <f>IF(AQ25="1",BI25,0)</f>
        <v>0</v>
      </c>
      <c r="AD25" s="86">
        <f>IF(AQ25="7",BH25,0)</f>
        <v>0</v>
      </c>
      <c r="AE25" s="86">
        <f>IF(AQ25="7",BI25,0)</f>
        <v>0</v>
      </c>
      <c r="AF25" s="86">
        <f>IF(AQ25="2",BH25,0)</f>
        <v>0</v>
      </c>
      <c r="AG25" s="86">
        <f>IF(AQ25="2",BI25,0)</f>
        <v>0</v>
      </c>
      <c r="AH25" s="86">
        <f>IF(AQ25="0",BJ25,0)</f>
        <v>0</v>
      </c>
      <c r="AI25" s="66"/>
      <c r="AJ25" s="84">
        <f>IF(AN25=0,L25,0)</f>
        <v>0</v>
      </c>
      <c r="AK25" s="84">
        <f>IF(AN25=15,L25,0)</f>
        <v>0</v>
      </c>
      <c r="AL25" s="84">
        <f>IF(AN25=21,L25,0)</f>
        <v>0</v>
      </c>
      <c r="AN25" s="86">
        <v>15</v>
      </c>
      <c r="AO25" s="86">
        <f>I25*0.048</f>
        <v>0</v>
      </c>
      <c r="AP25" s="86">
        <f>I25*(1-0.048)</f>
        <v>0</v>
      </c>
      <c r="AQ25" s="87" t="s">
        <v>7</v>
      </c>
      <c r="AV25" s="86">
        <f>AW25+AX25</f>
        <v>0</v>
      </c>
      <c r="AW25" s="86">
        <f>H25*AO25</f>
        <v>0</v>
      </c>
      <c r="AX25" s="86">
        <f>H25*AP25</f>
        <v>0</v>
      </c>
      <c r="AY25" s="88" t="s">
        <v>171</v>
      </c>
      <c r="AZ25" s="88" t="s">
        <v>179</v>
      </c>
      <c r="BA25" s="66" t="s">
        <v>184</v>
      </c>
      <c r="BC25" s="86">
        <f>AW25+AX25</f>
        <v>0</v>
      </c>
      <c r="BD25" s="86">
        <f>I25/(100-BE25)*100</f>
        <v>0</v>
      </c>
      <c r="BE25" s="86">
        <v>0</v>
      </c>
      <c r="BF25" s="86">
        <f>25</f>
        <v>25</v>
      </c>
      <c r="BH25" s="84">
        <f>H25*AO25</f>
        <v>0</v>
      </c>
      <c r="BI25" s="84">
        <f>H25*AP25</f>
        <v>0</v>
      </c>
      <c r="BJ25" s="84">
        <f>H25*I25</f>
        <v>0</v>
      </c>
      <c r="BK25" s="84" t="s">
        <v>189</v>
      </c>
      <c r="BL25" s="86">
        <v>64</v>
      </c>
    </row>
    <row r="26" spans="1:47" ht="12.75">
      <c r="A26" s="93"/>
      <c r="B26" s="94" t="s">
        <v>51</v>
      </c>
      <c r="C26" s="206" t="s">
        <v>88</v>
      </c>
      <c r="D26" s="207"/>
      <c r="E26" s="207"/>
      <c r="F26" s="207"/>
      <c r="G26" s="95" t="s">
        <v>6</v>
      </c>
      <c r="H26" s="95" t="s">
        <v>6</v>
      </c>
      <c r="I26" s="95" t="s">
        <v>6</v>
      </c>
      <c r="J26" s="80">
        <f>SUM(J27:J29)</f>
        <v>0</v>
      </c>
      <c r="K26" s="80">
        <f>SUM(K27:K29)</f>
        <v>0</v>
      </c>
      <c r="L26" s="80">
        <f>SUM(L27:L29)</f>
        <v>0</v>
      </c>
      <c r="M26" s="96"/>
      <c r="N26" s="59"/>
      <c r="AI26" s="66"/>
      <c r="AS26" s="80">
        <f>SUM(AJ27:AJ29)</f>
        <v>0</v>
      </c>
      <c r="AT26" s="80">
        <f>SUM(AK27:AK29)</f>
        <v>0</v>
      </c>
      <c r="AU26" s="80">
        <f>SUM(AL27:AL29)</f>
        <v>0</v>
      </c>
    </row>
    <row r="27" spans="1:64" ht="12.75">
      <c r="A27" s="81" t="s">
        <v>13</v>
      </c>
      <c r="B27" s="82" t="s">
        <v>52</v>
      </c>
      <c r="C27" s="204" t="s">
        <v>89</v>
      </c>
      <c r="D27" s="205"/>
      <c r="E27" s="205"/>
      <c r="F27" s="205"/>
      <c r="G27" s="82" t="s">
        <v>134</v>
      </c>
      <c r="H27" s="83">
        <v>1</v>
      </c>
      <c r="I27" s="111">
        <v>0</v>
      </c>
      <c r="J27" s="84">
        <f>H27*AO27</f>
        <v>0</v>
      </c>
      <c r="K27" s="84">
        <f>H27*AP27</f>
        <v>0</v>
      </c>
      <c r="L27" s="84">
        <f>H27*I27</f>
        <v>0</v>
      </c>
      <c r="M27" s="85" t="s">
        <v>157</v>
      </c>
      <c r="N27" s="59"/>
      <c r="Z27" s="86">
        <f>IF(AQ27="5",BJ27,0)</f>
        <v>0</v>
      </c>
      <c r="AB27" s="86">
        <f>IF(AQ27="1",BH27,0)</f>
        <v>0</v>
      </c>
      <c r="AC27" s="86">
        <f>IF(AQ27="1",BI27,0)</f>
        <v>0</v>
      </c>
      <c r="AD27" s="86">
        <f>IF(AQ27="7",BH27,0)</f>
        <v>0</v>
      </c>
      <c r="AE27" s="86">
        <f>IF(AQ27="7",BI27,0)</f>
        <v>0</v>
      </c>
      <c r="AF27" s="86">
        <f>IF(AQ27="2",BH27,0)</f>
        <v>0</v>
      </c>
      <c r="AG27" s="86">
        <f>IF(AQ27="2",BI27,0)</f>
        <v>0</v>
      </c>
      <c r="AH27" s="86">
        <f>IF(AQ27="0",BJ27,0)</f>
        <v>0</v>
      </c>
      <c r="AI27" s="66"/>
      <c r="AJ27" s="84">
        <f>IF(AN27=0,L27,0)</f>
        <v>0</v>
      </c>
      <c r="AK27" s="84">
        <f>IF(AN27=15,L27,0)</f>
        <v>0</v>
      </c>
      <c r="AL27" s="84">
        <f>IF(AN27=21,L27,0)</f>
        <v>0</v>
      </c>
      <c r="AN27" s="86">
        <v>15</v>
      </c>
      <c r="AO27" s="86">
        <f>I27*0.0542818243703199</f>
        <v>0</v>
      </c>
      <c r="AP27" s="86">
        <f>I27*(1-0.0542818243703199)</f>
        <v>0</v>
      </c>
      <c r="AQ27" s="87" t="s">
        <v>13</v>
      </c>
      <c r="AV27" s="86">
        <f>AW27+AX27</f>
        <v>0</v>
      </c>
      <c r="AW27" s="86">
        <f>H27*AO27</f>
        <v>0</v>
      </c>
      <c r="AX27" s="86">
        <f>H27*AP27</f>
        <v>0</v>
      </c>
      <c r="AY27" s="88" t="s">
        <v>172</v>
      </c>
      <c r="AZ27" s="88" t="s">
        <v>180</v>
      </c>
      <c r="BA27" s="66" t="s">
        <v>184</v>
      </c>
      <c r="BC27" s="86">
        <f>AW27+AX27</f>
        <v>0</v>
      </c>
      <c r="BD27" s="86">
        <f>I27/(100-BE27)*100</f>
        <v>0</v>
      </c>
      <c r="BE27" s="86">
        <v>0</v>
      </c>
      <c r="BF27" s="86">
        <f>27</f>
        <v>27</v>
      </c>
      <c r="BH27" s="84">
        <f>H27*AO27</f>
        <v>0</v>
      </c>
      <c r="BI27" s="84">
        <f>H27*AP27</f>
        <v>0</v>
      </c>
      <c r="BJ27" s="84">
        <f>H27*I27</f>
        <v>0</v>
      </c>
      <c r="BK27" s="84" t="s">
        <v>189</v>
      </c>
      <c r="BL27" s="86">
        <v>767</v>
      </c>
    </row>
    <row r="28" spans="1:64" ht="12.75">
      <c r="A28" s="97" t="s">
        <v>14</v>
      </c>
      <c r="B28" s="98" t="s">
        <v>53</v>
      </c>
      <c r="C28" s="208" t="s">
        <v>90</v>
      </c>
      <c r="D28" s="209"/>
      <c r="E28" s="209"/>
      <c r="F28" s="209"/>
      <c r="G28" s="98" t="s">
        <v>134</v>
      </c>
      <c r="H28" s="99">
        <v>1</v>
      </c>
      <c r="I28" s="112">
        <v>0</v>
      </c>
      <c r="J28" s="100">
        <f>H28*AO28</f>
        <v>0</v>
      </c>
      <c r="K28" s="100">
        <f>H28*AP28</f>
        <v>0</v>
      </c>
      <c r="L28" s="100">
        <f>H28*I28</f>
        <v>0</v>
      </c>
      <c r="M28" s="101" t="s">
        <v>157</v>
      </c>
      <c r="N28" s="59"/>
      <c r="Z28" s="86">
        <f>IF(AQ28="5",BJ28,0)</f>
        <v>0</v>
      </c>
      <c r="AB28" s="86">
        <f>IF(AQ28="1",BH28,0)</f>
        <v>0</v>
      </c>
      <c r="AC28" s="86">
        <f>IF(AQ28="1",BI28,0)</f>
        <v>0</v>
      </c>
      <c r="AD28" s="86">
        <f>IF(AQ28="7",BH28,0)</f>
        <v>0</v>
      </c>
      <c r="AE28" s="86">
        <f>IF(AQ28="7",BI28,0)</f>
        <v>0</v>
      </c>
      <c r="AF28" s="86">
        <f>IF(AQ28="2",BH28,0)</f>
        <v>0</v>
      </c>
      <c r="AG28" s="86">
        <f>IF(AQ28="2",BI28,0)</f>
        <v>0</v>
      </c>
      <c r="AH28" s="86">
        <f>IF(AQ28="0",BJ28,0)</f>
        <v>0</v>
      </c>
      <c r="AI28" s="66"/>
      <c r="AJ28" s="100">
        <f>IF(AN28=0,L28,0)</f>
        <v>0</v>
      </c>
      <c r="AK28" s="100">
        <f>IF(AN28=15,L28,0)</f>
        <v>0</v>
      </c>
      <c r="AL28" s="100">
        <f>IF(AN28=21,L28,0)</f>
        <v>0</v>
      </c>
      <c r="AN28" s="86">
        <v>15</v>
      </c>
      <c r="AO28" s="86">
        <f>I28*1</f>
        <v>0</v>
      </c>
      <c r="AP28" s="86">
        <f>I28*(1-1)</f>
        <v>0</v>
      </c>
      <c r="AQ28" s="102" t="s">
        <v>13</v>
      </c>
      <c r="AV28" s="86">
        <f>AW28+AX28</f>
        <v>0</v>
      </c>
      <c r="AW28" s="86">
        <f>H28*AO28</f>
        <v>0</v>
      </c>
      <c r="AX28" s="86">
        <f>H28*AP28</f>
        <v>0</v>
      </c>
      <c r="AY28" s="88" t="s">
        <v>172</v>
      </c>
      <c r="AZ28" s="88" t="s">
        <v>180</v>
      </c>
      <c r="BA28" s="66" t="s">
        <v>184</v>
      </c>
      <c r="BC28" s="86">
        <f>AW28+AX28</f>
        <v>0</v>
      </c>
      <c r="BD28" s="86">
        <f>I28/(100-BE28)*100</f>
        <v>0</v>
      </c>
      <c r="BE28" s="86">
        <v>0</v>
      </c>
      <c r="BF28" s="86">
        <f>28</f>
        <v>28</v>
      </c>
      <c r="BH28" s="100">
        <f>H28*AO28</f>
        <v>0</v>
      </c>
      <c r="BI28" s="100">
        <f>H28*AP28</f>
        <v>0</v>
      </c>
      <c r="BJ28" s="100">
        <f>H28*I28</f>
        <v>0</v>
      </c>
      <c r="BK28" s="100" t="s">
        <v>190</v>
      </c>
      <c r="BL28" s="86">
        <v>767</v>
      </c>
    </row>
    <row r="29" spans="1:64" ht="12.75">
      <c r="A29" s="81" t="s">
        <v>15</v>
      </c>
      <c r="B29" s="82" t="s">
        <v>54</v>
      </c>
      <c r="C29" s="204" t="s">
        <v>91</v>
      </c>
      <c r="D29" s="205"/>
      <c r="E29" s="205"/>
      <c r="F29" s="205"/>
      <c r="G29" s="82" t="s">
        <v>136</v>
      </c>
      <c r="H29" s="83">
        <v>1.75</v>
      </c>
      <c r="I29" s="111">
        <v>0</v>
      </c>
      <c r="J29" s="84">
        <f>H29*AO29</f>
        <v>0</v>
      </c>
      <c r="K29" s="84">
        <f>H29*AP29</f>
        <v>0</v>
      </c>
      <c r="L29" s="84">
        <f>H29*I29</f>
        <v>0</v>
      </c>
      <c r="M29" s="85" t="s">
        <v>157</v>
      </c>
      <c r="N29" s="59"/>
      <c r="Z29" s="86">
        <f>IF(AQ29="5",BJ29,0)</f>
        <v>0</v>
      </c>
      <c r="AB29" s="86">
        <f>IF(AQ29="1",BH29,0)</f>
        <v>0</v>
      </c>
      <c r="AC29" s="86">
        <f>IF(AQ29="1",BI29,0)</f>
        <v>0</v>
      </c>
      <c r="AD29" s="86">
        <f>IF(AQ29="7",BH29,0)</f>
        <v>0</v>
      </c>
      <c r="AE29" s="86">
        <f>IF(AQ29="7",BI29,0)</f>
        <v>0</v>
      </c>
      <c r="AF29" s="86">
        <f>IF(AQ29="2",BH29,0)</f>
        <v>0</v>
      </c>
      <c r="AG29" s="86">
        <f>IF(AQ29="2",BI29,0)</f>
        <v>0</v>
      </c>
      <c r="AH29" s="86">
        <f>IF(AQ29="0",BJ29,0)</f>
        <v>0</v>
      </c>
      <c r="AI29" s="66"/>
      <c r="AJ29" s="84">
        <f>IF(AN29=0,L29,0)</f>
        <v>0</v>
      </c>
      <c r="AK29" s="84">
        <f>IF(AN29=15,L29,0)</f>
        <v>0</v>
      </c>
      <c r="AL29" s="84">
        <f>IF(AN29=21,L29,0)</f>
        <v>0</v>
      </c>
      <c r="AN29" s="86">
        <v>15</v>
      </c>
      <c r="AO29" s="86">
        <f>I29*0</f>
        <v>0</v>
      </c>
      <c r="AP29" s="86">
        <f>I29*(1-0)</f>
        <v>0</v>
      </c>
      <c r="AQ29" s="87" t="s">
        <v>11</v>
      </c>
      <c r="AV29" s="86">
        <f>AW29+AX29</f>
        <v>0</v>
      </c>
      <c r="AW29" s="86">
        <f>H29*AO29</f>
        <v>0</v>
      </c>
      <c r="AX29" s="86">
        <f>H29*AP29</f>
        <v>0</v>
      </c>
      <c r="AY29" s="88" t="s">
        <v>172</v>
      </c>
      <c r="AZ29" s="88" t="s">
        <v>180</v>
      </c>
      <c r="BA29" s="66" t="s">
        <v>184</v>
      </c>
      <c r="BC29" s="86">
        <f>AW29+AX29</f>
        <v>0</v>
      </c>
      <c r="BD29" s="86">
        <f>I29/(100-BE29)*100</f>
        <v>0</v>
      </c>
      <c r="BE29" s="86">
        <v>0</v>
      </c>
      <c r="BF29" s="86">
        <f>29</f>
        <v>29</v>
      </c>
      <c r="BH29" s="84">
        <f>H29*AO29</f>
        <v>0</v>
      </c>
      <c r="BI29" s="84">
        <f>H29*AP29</f>
        <v>0</v>
      </c>
      <c r="BJ29" s="84">
        <f>H29*I29</f>
        <v>0</v>
      </c>
      <c r="BK29" s="84" t="s">
        <v>189</v>
      </c>
      <c r="BL29" s="86">
        <v>767</v>
      </c>
    </row>
    <row r="30" spans="1:47" ht="12.75">
      <c r="A30" s="93"/>
      <c r="B30" s="94" t="s">
        <v>55</v>
      </c>
      <c r="C30" s="206" t="s">
        <v>92</v>
      </c>
      <c r="D30" s="207"/>
      <c r="E30" s="207"/>
      <c r="F30" s="207"/>
      <c r="G30" s="95" t="s">
        <v>6</v>
      </c>
      <c r="H30" s="95" t="s">
        <v>6</v>
      </c>
      <c r="I30" s="95" t="s">
        <v>6</v>
      </c>
      <c r="J30" s="80">
        <f>SUM(J31:J35)</f>
        <v>0</v>
      </c>
      <c r="K30" s="80">
        <f>SUM(K31:K35)</f>
        <v>0</v>
      </c>
      <c r="L30" s="80">
        <f>SUM(L31:L35)</f>
        <v>0</v>
      </c>
      <c r="M30" s="96"/>
      <c r="N30" s="59"/>
      <c r="AI30" s="66"/>
      <c r="AS30" s="80">
        <f>SUM(AJ31:AJ35)</f>
        <v>0</v>
      </c>
      <c r="AT30" s="80">
        <f>SUM(AK31:AK35)</f>
        <v>0</v>
      </c>
      <c r="AU30" s="80">
        <f>SUM(AL31:AL35)</f>
        <v>0</v>
      </c>
    </row>
    <row r="31" spans="1:64" ht="12.75">
      <c r="A31" s="81" t="s">
        <v>16</v>
      </c>
      <c r="B31" s="82" t="s">
        <v>56</v>
      </c>
      <c r="C31" s="204" t="s">
        <v>93</v>
      </c>
      <c r="D31" s="205"/>
      <c r="E31" s="205"/>
      <c r="F31" s="205"/>
      <c r="G31" s="82" t="s">
        <v>135</v>
      </c>
      <c r="H31" s="83">
        <v>29.526</v>
      </c>
      <c r="I31" s="111">
        <v>0</v>
      </c>
      <c r="J31" s="84">
        <f>H31*AO31</f>
        <v>0</v>
      </c>
      <c r="K31" s="84">
        <f>H31*AP31</f>
        <v>0</v>
      </c>
      <c r="L31" s="84">
        <f>H31*I31</f>
        <v>0</v>
      </c>
      <c r="M31" s="85" t="s">
        <v>157</v>
      </c>
      <c r="N31" s="59"/>
      <c r="Z31" s="86">
        <f>IF(AQ31="5",BJ31,0)</f>
        <v>0</v>
      </c>
      <c r="AB31" s="86">
        <f>IF(AQ31="1",BH31,0)</f>
        <v>0</v>
      </c>
      <c r="AC31" s="86">
        <f>IF(AQ31="1",BI31,0)</f>
        <v>0</v>
      </c>
      <c r="AD31" s="86">
        <f>IF(AQ31="7",BH31,0)</f>
        <v>0</v>
      </c>
      <c r="AE31" s="86">
        <f>IF(AQ31="7",BI31,0)</f>
        <v>0</v>
      </c>
      <c r="AF31" s="86">
        <f>IF(AQ31="2",BH31,0)</f>
        <v>0</v>
      </c>
      <c r="AG31" s="86">
        <f>IF(AQ31="2",BI31,0)</f>
        <v>0</v>
      </c>
      <c r="AH31" s="86">
        <f>IF(AQ31="0",BJ31,0)</f>
        <v>0</v>
      </c>
      <c r="AI31" s="66"/>
      <c r="AJ31" s="84">
        <f>IF(AN31=0,L31,0)</f>
        <v>0</v>
      </c>
      <c r="AK31" s="84">
        <f>IF(AN31=15,L31,0)</f>
        <v>0</v>
      </c>
      <c r="AL31" s="84">
        <f>IF(AN31=21,L31,0)</f>
        <v>0</v>
      </c>
      <c r="AN31" s="86">
        <v>15</v>
      </c>
      <c r="AO31" s="86">
        <f>I31*0.618883639427855</f>
        <v>0</v>
      </c>
      <c r="AP31" s="86">
        <f>I31*(1-0.618883639427855)</f>
        <v>0</v>
      </c>
      <c r="AQ31" s="87" t="s">
        <v>13</v>
      </c>
      <c r="AV31" s="86">
        <f>AW31+AX31</f>
        <v>0</v>
      </c>
      <c r="AW31" s="86">
        <f>H31*AO31</f>
        <v>0</v>
      </c>
      <c r="AX31" s="86">
        <f>H31*AP31</f>
        <v>0</v>
      </c>
      <c r="AY31" s="88" t="s">
        <v>173</v>
      </c>
      <c r="AZ31" s="88" t="s">
        <v>181</v>
      </c>
      <c r="BA31" s="66" t="s">
        <v>184</v>
      </c>
      <c r="BC31" s="86">
        <f>AW31+AX31</f>
        <v>0</v>
      </c>
      <c r="BD31" s="86">
        <f>I31/(100-BE31)*100</f>
        <v>0</v>
      </c>
      <c r="BE31" s="86">
        <v>0</v>
      </c>
      <c r="BF31" s="86">
        <f>31</f>
        <v>31</v>
      </c>
      <c r="BH31" s="84">
        <f>H31*AO31</f>
        <v>0</v>
      </c>
      <c r="BI31" s="84">
        <f>H31*AP31</f>
        <v>0</v>
      </c>
      <c r="BJ31" s="84">
        <f>H31*I31</f>
        <v>0</v>
      </c>
      <c r="BK31" s="84" t="s">
        <v>189</v>
      </c>
      <c r="BL31" s="86">
        <v>777</v>
      </c>
    </row>
    <row r="32" spans="1:14" ht="12.75">
      <c r="A32" s="59"/>
      <c r="C32" s="89" t="s">
        <v>94</v>
      </c>
      <c r="F32" s="90"/>
      <c r="H32" s="91">
        <v>29.526</v>
      </c>
      <c r="M32" s="92"/>
      <c r="N32" s="59"/>
    </row>
    <row r="33" spans="1:64" ht="12.75">
      <c r="A33" s="97" t="s">
        <v>17</v>
      </c>
      <c r="B33" s="98" t="s">
        <v>57</v>
      </c>
      <c r="C33" s="208" t="s">
        <v>95</v>
      </c>
      <c r="D33" s="209"/>
      <c r="E33" s="209"/>
      <c r="F33" s="209"/>
      <c r="G33" s="98" t="s">
        <v>137</v>
      </c>
      <c r="H33" s="99">
        <v>3.691</v>
      </c>
      <c r="I33" s="112">
        <v>0</v>
      </c>
      <c r="J33" s="100">
        <f>H33*AO33</f>
        <v>0</v>
      </c>
      <c r="K33" s="100">
        <f>H33*AP33</f>
        <v>0</v>
      </c>
      <c r="L33" s="100">
        <f>H33*I33</f>
        <v>0</v>
      </c>
      <c r="M33" s="101"/>
      <c r="N33" s="59"/>
      <c r="Z33" s="86">
        <f>IF(AQ33="5",BJ33,0)</f>
        <v>0</v>
      </c>
      <c r="AB33" s="86">
        <f>IF(AQ33="1",BH33,0)</f>
        <v>0</v>
      </c>
      <c r="AC33" s="86">
        <f>IF(AQ33="1",BI33,0)</f>
        <v>0</v>
      </c>
      <c r="AD33" s="86">
        <f>IF(AQ33="7",BH33,0)</f>
        <v>0</v>
      </c>
      <c r="AE33" s="86">
        <f>IF(AQ33="7",BI33,0)</f>
        <v>0</v>
      </c>
      <c r="AF33" s="86">
        <f>IF(AQ33="2",BH33,0)</f>
        <v>0</v>
      </c>
      <c r="AG33" s="86">
        <f>IF(AQ33="2",BI33,0)</f>
        <v>0</v>
      </c>
      <c r="AH33" s="86">
        <f>IF(AQ33="0",BJ33,0)</f>
        <v>0</v>
      </c>
      <c r="AI33" s="66"/>
      <c r="AJ33" s="100">
        <f>IF(AN33=0,L33,0)</f>
        <v>0</v>
      </c>
      <c r="AK33" s="100">
        <f>IF(AN33=15,L33,0)</f>
        <v>0</v>
      </c>
      <c r="AL33" s="100">
        <f>IF(AN33=21,L33,0)</f>
        <v>0</v>
      </c>
      <c r="AN33" s="86">
        <v>15</v>
      </c>
      <c r="AO33" s="86">
        <f>I33*1</f>
        <v>0</v>
      </c>
      <c r="AP33" s="86">
        <f>I33*(1-1)</f>
        <v>0</v>
      </c>
      <c r="AQ33" s="102" t="s">
        <v>13</v>
      </c>
      <c r="AV33" s="86">
        <f>AW33+AX33</f>
        <v>0</v>
      </c>
      <c r="AW33" s="86">
        <f>H33*AO33</f>
        <v>0</v>
      </c>
      <c r="AX33" s="86">
        <f>H33*AP33</f>
        <v>0</v>
      </c>
      <c r="AY33" s="88" t="s">
        <v>173</v>
      </c>
      <c r="AZ33" s="88" t="s">
        <v>181</v>
      </c>
      <c r="BA33" s="66" t="s">
        <v>184</v>
      </c>
      <c r="BC33" s="86">
        <f>AW33+AX33</f>
        <v>0</v>
      </c>
      <c r="BD33" s="86">
        <f>I33/(100-BE33)*100</f>
        <v>0</v>
      </c>
      <c r="BE33" s="86">
        <v>0</v>
      </c>
      <c r="BF33" s="86">
        <f>33</f>
        <v>33</v>
      </c>
      <c r="BH33" s="100">
        <f>H33*AO33</f>
        <v>0</v>
      </c>
      <c r="BI33" s="100">
        <f>H33*AP33</f>
        <v>0</v>
      </c>
      <c r="BJ33" s="100">
        <f>H33*I33</f>
        <v>0</v>
      </c>
      <c r="BK33" s="100" t="s">
        <v>190</v>
      </c>
      <c r="BL33" s="86">
        <v>777</v>
      </c>
    </row>
    <row r="34" spans="1:14" ht="12.75">
      <c r="A34" s="59"/>
      <c r="C34" s="89" t="s">
        <v>96</v>
      </c>
      <c r="F34" s="90"/>
      <c r="H34" s="91">
        <v>3.691</v>
      </c>
      <c r="M34" s="92"/>
      <c r="N34" s="59"/>
    </row>
    <row r="35" spans="1:64" ht="12.75">
      <c r="A35" s="81" t="s">
        <v>18</v>
      </c>
      <c r="B35" s="82" t="s">
        <v>58</v>
      </c>
      <c r="C35" s="204" t="s">
        <v>97</v>
      </c>
      <c r="D35" s="205"/>
      <c r="E35" s="205"/>
      <c r="F35" s="205"/>
      <c r="G35" s="82" t="s">
        <v>136</v>
      </c>
      <c r="H35" s="83">
        <v>0.77</v>
      </c>
      <c r="I35" s="111">
        <v>0</v>
      </c>
      <c r="J35" s="84">
        <f>H35*AO35</f>
        <v>0</v>
      </c>
      <c r="K35" s="84">
        <f>H35*AP35</f>
        <v>0</v>
      </c>
      <c r="L35" s="84">
        <f>H35*I35</f>
        <v>0</v>
      </c>
      <c r="M35" s="85" t="s">
        <v>157</v>
      </c>
      <c r="N35" s="59"/>
      <c r="Z35" s="86">
        <f>IF(AQ35="5",BJ35,0)</f>
        <v>0</v>
      </c>
      <c r="AB35" s="86">
        <f>IF(AQ35="1",BH35,0)</f>
        <v>0</v>
      </c>
      <c r="AC35" s="86">
        <f>IF(AQ35="1",BI35,0)</f>
        <v>0</v>
      </c>
      <c r="AD35" s="86">
        <f>IF(AQ35="7",BH35,0)</f>
        <v>0</v>
      </c>
      <c r="AE35" s="86">
        <f>IF(AQ35="7",BI35,0)</f>
        <v>0</v>
      </c>
      <c r="AF35" s="86">
        <f>IF(AQ35="2",BH35,0)</f>
        <v>0</v>
      </c>
      <c r="AG35" s="86">
        <f>IF(AQ35="2",BI35,0)</f>
        <v>0</v>
      </c>
      <c r="AH35" s="86">
        <f>IF(AQ35="0",BJ35,0)</f>
        <v>0</v>
      </c>
      <c r="AI35" s="66"/>
      <c r="AJ35" s="84">
        <f>IF(AN35=0,L35,0)</f>
        <v>0</v>
      </c>
      <c r="AK35" s="84">
        <f>IF(AN35=15,L35,0)</f>
        <v>0</v>
      </c>
      <c r="AL35" s="84">
        <f>IF(AN35=21,L35,0)</f>
        <v>0</v>
      </c>
      <c r="AN35" s="86">
        <v>15</v>
      </c>
      <c r="AO35" s="86">
        <f>I35*0</f>
        <v>0</v>
      </c>
      <c r="AP35" s="86">
        <f>I35*(1-0)</f>
        <v>0</v>
      </c>
      <c r="AQ35" s="87" t="s">
        <v>11</v>
      </c>
      <c r="AV35" s="86">
        <f>AW35+AX35</f>
        <v>0</v>
      </c>
      <c r="AW35" s="86">
        <f>H35*AO35</f>
        <v>0</v>
      </c>
      <c r="AX35" s="86">
        <f>H35*AP35</f>
        <v>0</v>
      </c>
      <c r="AY35" s="88" t="s">
        <v>173</v>
      </c>
      <c r="AZ35" s="88" t="s">
        <v>181</v>
      </c>
      <c r="BA35" s="66" t="s">
        <v>184</v>
      </c>
      <c r="BC35" s="86">
        <f>AW35+AX35</f>
        <v>0</v>
      </c>
      <c r="BD35" s="86">
        <f>I35/(100-BE35)*100</f>
        <v>0</v>
      </c>
      <c r="BE35" s="86">
        <v>0</v>
      </c>
      <c r="BF35" s="86">
        <f>35</f>
        <v>35</v>
      </c>
      <c r="BH35" s="84">
        <f>H35*AO35</f>
        <v>0</v>
      </c>
      <c r="BI35" s="84">
        <f>H35*AP35</f>
        <v>0</v>
      </c>
      <c r="BJ35" s="84">
        <f>H35*I35</f>
        <v>0</v>
      </c>
      <c r="BK35" s="84" t="s">
        <v>189</v>
      </c>
      <c r="BL35" s="86">
        <v>777</v>
      </c>
    </row>
    <row r="36" spans="1:47" ht="12.75">
      <c r="A36" s="93"/>
      <c r="B36" s="94" t="s">
        <v>59</v>
      </c>
      <c r="C36" s="206" t="s">
        <v>98</v>
      </c>
      <c r="D36" s="207"/>
      <c r="E36" s="207"/>
      <c r="F36" s="207"/>
      <c r="G36" s="95" t="s">
        <v>6</v>
      </c>
      <c r="H36" s="95" t="s">
        <v>6</v>
      </c>
      <c r="I36" s="95" t="s">
        <v>6</v>
      </c>
      <c r="J36" s="80">
        <f>SUM(J37:J39)</f>
        <v>0</v>
      </c>
      <c r="K36" s="80">
        <f>SUM(K37:K39)</f>
        <v>0</v>
      </c>
      <c r="L36" s="80">
        <f>SUM(L37:L39)</f>
        <v>0</v>
      </c>
      <c r="M36" s="96"/>
      <c r="N36" s="59"/>
      <c r="AI36" s="66"/>
      <c r="AS36" s="80">
        <f>SUM(AJ37:AJ39)</f>
        <v>0</v>
      </c>
      <c r="AT36" s="80">
        <f>SUM(AK37:AK39)</f>
        <v>0</v>
      </c>
      <c r="AU36" s="80">
        <f>SUM(AL37:AL39)</f>
        <v>0</v>
      </c>
    </row>
    <row r="37" spans="1:64" ht="12.75">
      <c r="A37" s="81" t="s">
        <v>19</v>
      </c>
      <c r="B37" s="82" t="s">
        <v>60</v>
      </c>
      <c r="C37" s="204" t="s">
        <v>99</v>
      </c>
      <c r="D37" s="205"/>
      <c r="E37" s="205"/>
      <c r="F37" s="205"/>
      <c r="G37" s="82" t="s">
        <v>135</v>
      </c>
      <c r="H37" s="83">
        <v>94.676</v>
      </c>
      <c r="I37" s="111">
        <v>0</v>
      </c>
      <c r="J37" s="84">
        <f>H37*AO37</f>
        <v>0</v>
      </c>
      <c r="K37" s="84">
        <f>H37*AP37</f>
        <v>0</v>
      </c>
      <c r="L37" s="84">
        <f>H37*I37</f>
        <v>0</v>
      </c>
      <c r="M37" s="85" t="s">
        <v>157</v>
      </c>
      <c r="N37" s="59"/>
      <c r="Z37" s="86">
        <f>IF(AQ37="5",BJ37,0)</f>
        <v>0</v>
      </c>
      <c r="AB37" s="86">
        <f>IF(AQ37="1",BH37,0)</f>
        <v>0</v>
      </c>
      <c r="AC37" s="86">
        <f>IF(AQ37="1",BI37,0)</f>
        <v>0</v>
      </c>
      <c r="AD37" s="86">
        <f>IF(AQ37="7",BH37,0)</f>
        <v>0</v>
      </c>
      <c r="AE37" s="86">
        <f>IF(AQ37="7",BI37,0)</f>
        <v>0</v>
      </c>
      <c r="AF37" s="86">
        <f>IF(AQ37="2",BH37,0)</f>
        <v>0</v>
      </c>
      <c r="AG37" s="86">
        <f>IF(AQ37="2",BI37,0)</f>
        <v>0</v>
      </c>
      <c r="AH37" s="86">
        <f>IF(AQ37="0",BJ37,0)</f>
        <v>0</v>
      </c>
      <c r="AI37" s="66"/>
      <c r="AJ37" s="84">
        <f>IF(AN37=0,L37,0)</f>
        <v>0</v>
      </c>
      <c r="AK37" s="84">
        <f>IF(AN37=15,L37,0)</f>
        <v>0</v>
      </c>
      <c r="AL37" s="84">
        <f>IF(AN37=21,L37,0)</f>
        <v>0</v>
      </c>
      <c r="AN37" s="86">
        <v>15</v>
      </c>
      <c r="AO37" s="86">
        <f>I37*0.00926787724536244</f>
        <v>0</v>
      </c>
      <c r="AP37" s="86">
        <f>I37*(1-0.00926787724536244)</f>
        <v>0</v>
      </c>
      <c r="AQ37" s="87" t="s">
        <v>13</v>
      </c>
      <c r="AV37" s="86">
        <f>AW37+AX37</f>
        <v>0</v>
      </c>
      <c r="AW37" s="86">
        <f>H37*AO37</f>
        <v>0</v>
      </c>
      <c r="AX37" s="86">
        <f>H37*AP37</f>
        <v>0</v>
      </c>
      <c r="AY37" s="88" t="s">
        <v>174</v>
      </c>
      <c r="AZ37" s="88" t="s">
        <v>182</v>
      </c>
      <c r="BA37" s="66" t="s">
        <v>184</v>
      </c>
      <c r="BC37" s="86">
        <f>AW37+AX37</f>
        <v>0</v>
      </c>
      <c r="BD37" s="86">
        <f>I37/(100-BE37)*100</f>
        <v>0</v>
      </c>
      <c r="BE37" s="86">
        <v>0</v>
      </c>
      <c r="BF37" s="86">
        <f>37</f>
        <v>37</v>
      </c>
      <c r="BH37" s="84">
        <f>H37*AO37</f>
        <v>0</v>
      </c>
      <c r="BI37" s="84">
        <f>H37*AP37</f>
        <v>0</v>
      </c>
      <c r="BJ37" s="84">
        <f>H37*I37</f>
        <v>0</v>
      </c>
      <c r="BK37" s="84" t="s">
        <v>189</v>
      </c>
      <c r="BL37" s="86">
        <v>784</v>
      </c>
    </row>
    <row r="38" spans="1:14" ht="12.75">
      <c r="A38" s="59"/>
      <c r="C38" s="89" t="s">
        <v>100</v>
      </c>
      <c r="F38" s="90"/>
      <c r="H38" s="91">
        <v>94.676</v>
      </c>
      <c r="M38" s="92"/>
      <c r="N38" s="59"/>
    </row>
    <row r="39" spans="1:64" ht="12.75">
      <c r="A39" s="81" t="s">
        <v>20</v>
      </c>
      <c r="B39" s="82" t="s">
        <v>61</v>
      </c>
      <c r="C39" s="204" t="s">
        <v>101</v>
      </c>
      <c r="D39" s="205"/>
      <c r="E39" s="205"/>
      <c r="F39" s="205"/>
      <c r="G39" s="82" t="s">
        <v>135</v>
      </c>
      <c r="H39" s="83">
        <v>94.676</v>
      </c>
      <c r="I39" s="111">
        <v>0</v>
      </c>
      <c r="J39" s="84">
        <f>H39*AO39</f>
        <v>0</v>
      </c>
      <c r="K39" s="84">
        <f>H39*AP39</f>
        <v>0</v>
      </c>
      <c r="L39" s="84">
        <f>H39*I39</f>
        <v>0</v>
      </c>
      <c r="M39" s="85" t="s">
        <v>157</v>
      </c>
      <c r="N39" s="59"/>
      <c r="Z39" s="86">
        <f>IF(AQ39="5",BJ39,0)</f>
        <v>0</v>
      </c>
      <c r="AB39" s="86">
        <f>IF(AQ39="1",BH39,0)</f>
        <v>0</v>
      </c>
      <c r="AC39" s="86">
        <f>IF(AQ39="1",BI39,0)</f>
        <v>0</v>
      </c>
      <c r="AD39" s="86">
        <f>IF(AQ39="7",BH39,0)</f>
        <v>0</v>
      </c>
      <c r="AE39" s="86">
        <f>IF(AQ39="7",BI39,0)</f>
        <v>0</v>
      </c>
      <c r="AF39" s="86">
        <f>IF(AQ39="2",BH39,0)</f>
        <v>0</v>
      </c>
      <c r="AG39" s="86">
        <f>IF(AQ39="2",BI39,0)</f>
        <v>0</v>
      </c>
      <c r="AH39" s="86">
        <f>IF(AQ39="0",BJ39,0)</f>
        <v>0</v>
      </c>
      <c r="AI39" s="66"/>
      <c r="AJ39" s="84">
        <f>IF(AN39=0,L39,0)</f>
        <v>0</v>
      </c>
      <c r="AK39" s="84">
        <f>IF(AN39=15,L39,0)</f>
        <v>0</v>
      </c>
      <c r="AL39" s="84">
        <f>IF(AN39=21,L39,0)</f>
        <v>0</v>
      </c>
      <c r="AN39" s="86">
        <v>15</v>
      </c>
      <c r="AO39" s="86">
        <f>I39*0.0733314050236904</f>
        <v>0</v>
      </c>
      <c r="AP39" s="86">
        <f>I39*(1-0.0733314050236904)</f>
        <v>0</v>
      </c>
      <c r="AQ39" s="87" t="s">
        <v>13</v>
      </c>
      <c r="AV39" s="86">
        <f>AW39+AX39</f>
        <v>0</v>
      </c>
      <c r="AW39" s="86">
        <f>H39*AO39</f>
        <v>0</v>
      </c>
      <c r="AX39" s="86">
        <f>H39*AP39</f>
        <v>0</v>
      </c>
      <c r="AY39" s="88" t="s">
        <v>174</v>
      </c>
      <c r="AZ39" s="88" t="s">
        <v>182</v>
      </c>
      <c r="BA39" s="66" t="s">
        <v>184</v>
      </c>
      <c r="BC39" s="86">
        <f>AW39+AX39</f>
        <v>0</v>
      </c>
      <c r="BD39" s="86">
        <f>I39/(100-BE39)*100</f>
        <v>0</v>
      </c>
      <c r="BE39" s="86">
        <v>0</v>
      </c>
      <c r="BF39" s="86">
        <f>39</f>
        <v>39</v>
      </c>
      <c r="BH39" s="84">
        <f>H39*AO39</f>
        <v>0</v>
      </c>
      <c r="BI39" s="84">
        <f>H39*AP39</f>
        <v>0</v>
      </c>
      <c r="BJ39" s="84">
        <f>H39*I39</f>
        <v>0</v>
      </c>
      <c r="BK39" s="84" t="s">
        <v>189</v>
      </c>
      <c r="BL39" s="86">
        <v>784</v>
      </c>
    </row>
    <row r="40" spans="1:14" ht="12.75">
      <c r="A40" s="59"/>
      <c r="C40" s="89" t="s">
        <v>100</v>
      </c>
      <c r="F40" s="90"/>
      <c r="H40" s="91">
        <v>94.676</v>
      </c>
      <c r="M40" s="92"/>
      <c r="N40" s="59"/>
    </row>
    <row r="41" spans="1:47" ht="12.75">
      <c r="A41" s="93"/>
      <c r="B41" s="94" t="s">
        <v>62</v>
      </c>
      <c r="C41" s="206" t="s">
        <v>102</v>
      </c>
      <c r="D41" s="207"/>
      <c r="E41" s="207"/>
      <c r="F41" s="207"/>
      <c r="G41" s="95" t="s">
        <v>6</v>
      </c>
      <c r="H41" s="95" t="s">
        <v>6</v>
      </c>
      <c r="I41" s="95" t="s">
        <v>6</v>
      </c>
      <c r="J41" s="80">
        <f>SUM(J42:J45)</f>
        <v>0</v>
      </c>
      <c r="K41" s="80">
        <f>SUM(K42:K45)</f>
        <v>0</v>
      </c>
      <c r="L41" s="80">
        <f>SUM(L42:L45)</f>
        <v>0</v>
      </c>
      <c r="M41" s="96"/>
      <c r="N41" s="59"/>
      <c r="AI41" s="66"/>
      <c r="AS41" s="80">
        <f>SUM(AJ42:AJ45)</f>
        <v>0</v>
      </c>
      <c r="AT41" s="80">
        <f>SUM(AK42:AK45)</f>
        <v>0</v>
      </c>
      <c r="AU41" s="80">
        <f>SUM(AL42:AL45)</f>
        <v>0</v>
      </c>
    </row>
    <row r="42" spans="1:64" ht="12.75">
      <c r="A42" s="81" t="s">
        <v>21</v>
      </c>
      <c r="B42" s="82" t="s">
        <v>63</v>
      </c>
      <c r="C42" s="204" t="s">
        <v>103</v>
      </c>
      <c r="D42" s="205"/>
      <c r="E42" s="205"/>
      <c r="F42" s="205"/>
      <c r="G42" s="82" t="s">
        <v>135</v>
      </c>
      <c r="H42" s="83">
        <v>12.585</v>
      </c>
      <c r="I42" s="111">
        <v>0</v>
      </c>
      <c r="J42" s="84">
        <f>H42*AO42</f>
        <v>0</v>
      </c>
      <c r="K42" s="84">
        <f>H42*AP42</f>
        <v>0</v>
      </c>
      <c r="L42" s="84">
        <f>H42*I42</f>
        <v>0</v>
      </c>
      <c r="M42" s="85" t="s">
        <v>157</v>
      </c>
      <c r="N42" s="59"/>
      <c r="Z42" s="86">
        <f>IF(AQ42="5",BJ42,0)</f>
        <v>0</v>
      </c>
      <c r="AB42" s="86">
        <f>IF(AQ42="1",BH42,0)</f>
        <v>0</v>
      </c>
      <c r="AC42" s="86">
        <f>IF(AQ42="1",BI42,0)</f>
        <v>0</v>
      </c>
      <c r="AD42" s="86">
        <f>IF(AQ42="7",BH42,0)</f>
        <v>0</v>
      </c>
      <c r="AE42" s="86">
        <f>IF(AQ42="7",BI42,0)</f>
        <v>0</v>
      </c>
      <c r="AF42" s="86">
        <f>IF(AQ42="2",BH42,0)</f>
        <v>0</v>
      </c>
      <c r="AG42" s="86">
        <f>IF(AQ42="2",BI42,0)</f>
        <v>0</v>
      </c>
      <c r="AH42" s="86">
        <f>IF(AQ42="0",BJ42,0)</f>
        <v>0</v>
      </c>
      <c r="AI42" s="66"/>
      <c r="AJ42" s="84">
        <f>IF(AN42=0,L42,0)</f>
        <v>0</v>
      </c>
      <c r="AK42" s="84">
        <f>IF(AN42=15,L42,0)</f>
        <v>0</v>
      </c>
      <c r="AL42" s="84">
        <f>IF(AN42=21,L42,0)</f>
        <v>0</v>
      </c>
      <c r="AN42" s="86">
        <v>15</v>
      </c>
      <c r="AO42" s="86">
        <f>I42*0.0982778871149373</f>
        <v>0</v>
      </c>
      <c r="AP42" s="86">
        <f>I42*(1-0.0982778871149373)</f>
        <v>0</v>
      </c>
      <c r="AQ42" s="87" t="s">
        <v>7</v>
      </c>
      <c r="AV42" s="86">
        <f>AW42+AX42</f>
        <v>0</v>
      </c>
      <c r="AW42" s="86">
        <f>H42*AO42</f>
        <v>0</v>
      </c>
      <c r="AX42" s="86">
        <f>H42*AP42</f>
        <v>0</v>
      </c>
      <c r="AY42" s="88" t="s">
        <v>175</v>
      </c>
      <c r="AZ42" s="88" t="s">
        <v>183</v>
      </c>
      <c r="BA42" s="66" t="s">
        <v>184</v>
      </c>
      <c r="BC42" s="86">
        <f>AW42+AX42</f>
        <v>0</v>
      </c>
      <c r="BD42" s="86">
        <f>I42/(100-BE42)*100</f>
        <v>0</v>
      </c>
      <c r="BE42" s="86">
        <v>0</v>
      </c>
      <c r="BF42" s="86">
        <f>42</f>
        <v>42</v>
      </c>
      <c r="BH42" s="84">
        <f>H42*AO42</f>
        <v>0</v>
      </c>
      <c r="BI42" s="84">
        <f>H42*AP42</f>
        <v>0</v>
      </c>
      <c r="BJ42" s="84">
        <f>H42*I42</f>
        <v>0</v>
      </c>
      <c r="BK42" s="84" t="s">
        <v>189</v>
      </c>
      <c r="BL42" s="86">
        <v>96</v>
      </c>
    </row>
    <row r="43" spans="1:14" ht="12.75">
      <c r="A43" s="59"/>
      <c r="C43" s="89" t="s">
        <v>104</v>
      </c>
      <c r="F43" s="90"/>
      <c r="H43" s="91">
        <v>12.585</v>
      </c>
      <c r="M43" s="92"/>
      <c r="N43" s="59"/>
    </row>
    <row r="44" spans="1:64" ht="12.75">
      <c r="A44" s="81" t="s">
        <v>22</v>
      </c>
      <c r="B44" s="82" t="s">
        <v>64</v>
      </c>
      <c r="C44" s="204" t="s">
        <v>105</v>
      </c>
      <c r="D44" s="205"/>
      <c r="E44" s="205"/>
      <c r="F44" s="205"/>
      <c r="G44" s="82" t="s">
        <v>134</v>
      </c>
      <c r="H44" s="83">
        <v>2</v>
      </c>
      <c r="I44" s="111">
        <v>0</v>
      </c>
      <c r="J44" s="84">
        <f>H44*AO44</f>
        <v>0</v>
      </c>
      <c r="K44" s="84">
        <f>H44*AP44</f>
        <v>0</v>
      </c>
      <c r="L44" s="84">
        <f>H44*I44</f>
        <v>0</v>
      </c>
      <c r="M44" s="85" t="s">
        <v>157</v>
      </c>
      <c r="N44" s="59"/>
      <c r="Z44" s="86">
        <f>IF(AQ44="5",BJ44,0)</f>
        <v>0</v>
      </c>
      <c r="AB44" s="86">
        <f>IF(AQ44="1",BH44,0)</f>
        <v>0</v>
      </c>
      <c r="AC44" s="86">
        <f>IF(AQ44="1",BI44,0)</f>
        <v>0</v>
      </c>
      <c r="AD44" s="86">
        <f>IF(AQ44="7",BH44,0)</f>
        <v>0</v>
      </c>
      <c r="AE44" s="86">
        <f>IF(AQ44="7",BI44,0)</f>
        <v>0</v>
      </c>
      <c r="AF44" s="86">
        <f>IF(AQ44="2",BH44,0)</f>
        <v>0</v>
      </c>
      <c r="AG44" s="86">
        <f>IF(AQ44="2",BI44,0)</f>
        <v>0</v>
      </c>
      <c r="AH44" s="86">
        <f>IF(AQ44="0",BJ44,0)</f>
        <v>0</v>
      </c>
      <c r="AI44" s="66"/>
      <c r="AJ44" s="84">
        <f>IF(AN44=0,L44,0)</f>
        <v>0</v>
      </c>
      <c r="AK44" s="84">
        <f>IF(AN44=15,L44,0)</f>
        <v>0</v>
      </c>
      <c r="AL44" s="84">
        <f>IF(AN44=21,L44,0)</f>
        <v>0</v>
      </c>
      <c r="AN44" s="86">
        <v>15</v>
      </c>
      <c r="AO44" s="86">
        <f>I44*0</f>
        <v>0</v>
      </c>
      <c r="AP44" s="86">
        <f>I44*(1-0)</f>
        <v>0</v>
      </c>
      <c r="AQ44" s="87" t="s">
        <v>7</v>
      </c>
      <c r="AV44" s="86">
        <f>AW44+AX44</f>
        <v>0</v>
      </c>
      <c r="AW44" s="86">
        <f>H44*AO44</f>
        <v>0</v>
      </c>
      <c r="AX44" s="86">
        <f>H44*AP44</f>
        <v>0</v>
      </c>
      <c r="AY44" s="88" t="s">
        <v>175</v>
      </c>
      <c r="AZ44" s="88" t="s">
        <v>183</v>
      </c>
      <c r="BA44" s="66" t="s">
        <v>184</v>
      </c>
      <c r="BC44" s="86">
        <f>AW44+AX44</f>
        <v>0</v>
      </c>
      <c r="BD44" s="86">
        <f>I44/(100-BE44)*100</f>
        <v>0</v>
      </c>
      <c r="BE44" s="86">
        <v>0</v>
      </c>
      <c r="BF44" s="86">
        <f>44</f>
        <v>44</v>
      </c>
      <c r="BH44" s="84">
        <f>H44*AO44</f>
        <v>0</v>
      </c>
      <c r="BI44" s="84">
        <f>H44*AP44</f>
        <v>0</v>
      </c>
      <c r="BJ44" s="84">
        <f>H44*I44</f>
        <v>0</v>
      </c>
      <c r="BK44" s="84" t="s">
        <v>189</v>
      </c>
      <c r="BL44" s="86">
        <v>96</v>
      </c>
    </row>
    <row r="45" spans="1:64" ht="12.75">
      <c r="A45" s="81" t="s">
        <v>23</v>
      </c>
      <c r="B45" s="82" t="s">
        <v>65</v>
      </c>
      <c r="C45" s="204" t="s">
        <v>106</v>
      </c>
      <c r="D45" s="205"/>
      <c r="E45" s="205"/>
      <c r="F45" s="205"/>
      <c r="G45" s="82" t="s">
        <v>138</v>
      </c>
      <c r="H45" s="83">
        <v>1</v>
      </c>
      <c r="I45" s="111">
        <v>0</v>
      </c>
      <c r="J45" s="84">
        <f>H45*AO45</f>
        <v>0</v>
      </c>
      <c r="K45" s="84">
        <f>H45*AP45</f>
        <v>0</v>
      </c>
      <c r="L45" s="84">
        <f>H45*I45</f>
        <v>0</v>
      </c>
      <c r="M45" s="85" t="s">
        <v>157</v>
      </c>
      <c r="N45" s="59"/>
      <c r="Z45" s="86">
        <f>IF(AQ45="5",BJ45,0)</f>
        <v>0</v>
      </c>
      <c r="AB45" s="86">
        <f>IF(AQ45="1",BH45,0)</f>
        <v>0</v>
      </c>
      <c r="AC45" s="86">
        <f>IF(AQ45="1",BI45,0)</f>
        <v>0</v>
      </c>
      <c r="AD45" s="86">
        <f>IF(AQ45="7",BH45,0)</f>
        <v>0</v>
      </c>
      <c r="AE45" s="86">
        <f>IF(AQ45="7",BI45,0)</f>
        <v>0</v>
      </c>
      <c r="AF45" s="86">
        <f>IF(AQ45="2",BH45,0)</f>
        <v>0</v>
      </c>
      <c r="AG45" s="86">
        <f>IF(AQ45="2",BI45,0)</f>
        <v>0</v>
      </c>
      <c r="AH45" s="86">
        <f>IF(AQ45="0",BJ45,0)</f>
        <v>0</v>
      </c>
      <c r="AI45" s="66"/>
      <c r="AJ45" s="84">
        <f>IF(AN45=0,L45,0)</f>
        <v>0</v>
      </c>
      <c r="AK45" s="84">
        <f>IF(AN45=15,L45,0)</f>
        <v>0</v>
      </c>
      <c r="AL45" s="84">
        <f>IF(AN45=21,L45,0)</f>
        <v>0</v>
      </c>
      <c r="AN45" s="86">
        <v>15</v>
      </c>
      <c r="AO45" s="86">
        <f>I45*0</f>
        <v>0</v>
      </c>
      <c r="AP45" s="86">
        <f>I45*(1-0)</f>
        <v>0</v>
      </c>
      <c r="AQ45" s="87" t="s">
        <v>11</v>
      </c>
      <c r="AV45" s="86">
        <f>AW45+AX45</f>
        <v>0</v>
      </c>
      <c r="AW45" s="86">
        <f>H45*AO45</f>
        <v>0</v>
      </c>
      <c r="AX45" s="86">
        <f>H45*AP45</f>
        <v>0</v>
      </c>
      <c r="AY45" s="88" t="s">
        <v>175</v>
      </c>
      <c r="AZ45" s="88" t="s">
        <v>183</v>
      </c>
      <c r="BA45" s="66" t="s">
        <v>184</v>
      </c>
      <c r="BC45" s="86">
        <f>AW45+AX45</f>
        <v>0</v>
      </c>
      <c r="BD45" s="86">
        <f>I45/(100-BE45)*100</f>
        <v>0</v>
      </c>
      <c r="BE45" s="86">
        <v>0</v>
      </c>
      <c r="BF45" s="86">
        <f>45</f>
        <v>45</v>
      </c>
      <c r="BH45" s="84">
        <f>H45*AO45</f>
        <v>0</v>
      </c>
      <c r="BI45" s="84">
        <f>H45*AP45</f>
        <v>0</v>
      </c>
      <c r="BJ45" s="84">
        <f>H45*I45</f>
        <v>0</v>
      </c>
      <c r="BK45" s="84" t="s">
        <v>189</v>
      </c>
      <c r="BL45" s="86">
        <v>96</v>
      </c>
    </row>
    <row r="46" spans="1:47" ht="12.75">
      <c r="A46" s="93"/>
      <c r="B46" s="94" t="s">
        <v>66</v>
      </c>
      <c r="C46" s="206" t="s">
        <v>107</v>
      </c>
      <c r="D46" s="207"/>
      <c r="E46" s="207"/>
      <c r="F46" s="207"/>
      <c r="G46" s="95" t="s">
        <v>6</v>
      </c>
      <c r="H46" s="95" t="s">
        <v>6</v>
      </c>
      <c r="I46" s="95" t="s">
        <v>6</v>
      </c>
      <c r="J46" s="80">
        <f>SUM(J47:J47)</f>
        <v>0</v>
      </c>
      <c r="K46" s="80">
        <f>SUM(K47:K47)</f>
        <v>0</v>
      </c>
      <c r="L46" s="80">
        <f>SUM(L47:L47)</f>
        <v>0</v>
      </c>
      <c r="M46" s="96"/>
      <c r="N46" s="59"/>
      <c r="AI46" s="66"/>
      <c r="AS46" s="80">
        <f>SUM(AJ47:AJ47)</f>
        <v>0</v>
      </c>
      <c r="AT46" s="80">
        <f>SUM(AK47:AK47)</f>
        <v>0</v>
      </c>
      <c r="AU46" s="80">
        <f>SUM(AL47:AL47)</f>
        <v>0</v>
      </c>
    </row>
    <row r="47" spans="1:64" ht="12.75">
      <c r="A47" s="81" t="s">
        <v>24</v>
      </c>
      <c r="B47" s="82" t="s">
        <v>67</v>
      </c>
      <c r="C47" s="204" t="s">
        <v>108</v>
      </c>
      <c r="D47" s="205"/>
      <c r="E47" s="205"/>
      <c r="F47" s="205"/>
      <c r="G47" s="82" t="s">
        <v>139</v>
      </c>
      <c r="H47" s="83">
        <v>1.678</v>
      </c>
      <c r="I47" s="111">
        <v>0</v>
      </c>
      <c r="J47" s="84">
        <f>H47*AO47</f>
        <v>0</v>
      </c>
      <c r="K47" s="84">
        <f>H47*AP47</f>
        <v>0</v>
      </c>
      <c r="L47" s="84">
        <f>H47*I47</f>
        <v>0</v>
      </c>
      <c r="M47" s="85" t="s">
        <v>157</v>
      </c>
      <c r="N47" s="59"/>
      <c r="Z47" s="86">
        <f>IF(AQ47="5",BJ47,0)</f>
        <v>0</v>
      </c>
      <c r="AB47" s="86">
        <f>IF(AQ47="1",BH47,0)</f>
        <v>0</v>
      </c>
      <c r="AC47" s="86">
        <f>IF(AQ47="1",BI47,0)</f>
        <v>0</v>
      </c>
      <c r="AD47" s="86">
        <f>IF(AQ47="7",BH47,0)</f>
        <v>0</v>
      </c>
      <c r="AE47" s="86">
        <f>IF(AQ47="7",BI47,0)</f>
        <v>0</v>
      </c>
      <c r="AF47" s="86">
        <f>IF(AQ47="2",BH47,0)</f>
        <v>0</v>
      </c>
      <c r="AG47" s="86">
        <f>IF(AQ47="2",BI47,0)</f>
        <v>0</v>
      </c>
      <c r="AH47" s="86">
        <f>IF(AQ47="0",BJ47,0)</f>
        <v>0</v>
      </c>
      <c r="AI47" s="66"/>
      <c r="AJ47" s="84">
        <f>IF(AN47=0,L47,0)</f>
        <v>0</v>
      </c>
      <c r="AK47" s="84">
        <f>IF(AN47=15,L47,0)</f>
        <v>0</v>
      </c>
      <c r="AL47" s="84">
        <f>IF(AN47=21,L47,0)</f>
        <v>0</v>
      </c>
      <c r="AN47" s="86">
        <v>15</v>
      </c>
      <c r="AO47" s="86">
        <f>I47*0</f>
        <v>0</v>
      </c>
      <c r="AP47" s="86">
        <f>I47*(1-0)</f>
        <v>0</v>
      </c>
      <c r="AQ47" s="87" t="s">
        <v>11</v>
      </c>
      <c r="AV47" s="86">
        <f>AW47+AX47</f>
        <v>0</v>
      </c>
      <c r="AW47" s="86">
        <f>H47*AO47</f>
        <v>0</v>
      </c>
      <c r="AX47" s="86">
        <f>H47*AP47</f>
        <v>0</v>
      </c>
      <c r="AY47" s="88" t="s">
        <v>176</v>
      </c>
      <c r="AZ47" s="88" t="s">
        <v>183</v>
      </c>
      <c r="BA47" s="66" t="s">
        <v>184</v>
      </c>
      <c r="BC47" s="86">
        <f>AW47+AX47</f>
        <v>0</v>
      </c>
      <c r="BD47" s="86">
        <f>I47/(100-BE47)*100</f>
        <v>0</v>
      </c>
      <c r="BE47" s="86">
        <v>0</v>
      </c>
      <c r="BF47" s="86">
        <f>47</f>
        <v>47</v>
      </c>
      <c r="BH47" s="84">
        <f>H47*AO47</f>
        <v>0</v>
      </c>
      <c r="BI47" s="84">
        <f>H47*AP47</f>
        <v>0</v>
      </c>
      <c r="BJ47" s="84">
        <f>H47*I47</f>
        <v>0</v>
      </c>
      <c r="BK47" s="84" t="s">
        <v>189</v>
      </c>
      <c r="BL47" s="86" t="s">
        <v>66</v>
      </c>
    </row>
    <row r="48" spans="1:14" ht="12.75">
      <c r="A48" s="59"/>
      <c r="C48" s="89" t="s">
        <v>109</v>
      </c>
      <c r="F48" s="90"/>
      <c r="H48" s="91">
        <v>1.678</v>
      </c>
      <c r="M48" s="92"/>
      <c r="N48" s="59"/>
    </row>
    <row r="49" spans="1:47" ht="12.75">
      <c r="A49" s="93"/>
      <c r="B49" s="94" t="s">
        <v>68</v>
      </c>
      <c r="C49" s="206" t="s">
        <v>110</v>
      </c>
      <c r="D49" s="207"/>
      <c r="E49" s="207"/>
      <c r="F49" s="207"/>
      <c r="G49" s="95" t="s">
        <v>6</v>
      </c>
      <c r="H49" s="95" t="s">
        <v>6</v>
      </c>
      <c r="I49" s="95" t="s">
        <v>6</v>
      </c>
      <c r="J49" s="80">
        <f>SUM(J50:J64)</f>
        <v>0</v>
      </c>
      <c r="K49" s="80">
        <f>SUM(K50:K64)</f>
        <v>0</v>
      </c>
      <c r="L49" s="80">
        <f>SUM(L50:L64)</f>
        <v>0</v>
      </c>
      <c r="M49" s="96"/>
      <c r="N49" s="59"/>
      <c r="AI49" s="66"/>
      <c r="AS49" s="80">
        <f>SUM(AJ50:AJ64)</f>
        <v>0</v>
      </c>
      <c r="AT49" s="80">
        <f>SUM(AK50:AK64)</f>
        <v>0</v>
      </c>
      <c r="AU49" s="80">
        <f>SUM(AL50:AL64)</f>
        <v>0</v>
      </c>
    </row>
    <row r="50" spans="1:64" ht="12.75">
      <c r="A50" s="81" t="s">
        <v>25</v>
      </c>
      <c r="B50" s="82" t="s">
        <v>69</v>
      </c>
      <c r="C50" s="204" t="s">
        <v>111</v>
      </c>
      <c r="D50" s="205"/>
      <c r="E50" s="205"/>
      <c r="F50" s="205"/>
      <c r="G50" s="82" t="s">
        <v>138</v>
      </c>
      <c r="H50" s="83">
        <v>1</v>
      </c>
      <c r="I50" s="84">
        <f>Elektro!E15</f>
        <v>0</v>
      </c>
      <c r="J50" s="84">
        <f>H50*AO50</f>
        <v>0</v>
      </c>
      <c r="K50" s="84">
        <f>H50*AP50</f>
        <v>0</v>
      </c>
      <c r="L50" s="84">
        <f aca="true" t="shared" si="0" ref="L50:L64">H50*I50</f>
        <v>0</v>
      </c>
      <c r="M50" s="85" t="s">
        <v>158</v>
      </c>
      <c r="N50" s="59"/>
      <c r="Z50" s="86">
        <f aca="true" t="shared" si="1" ref="Z50:Z64">IF(AQ50="5",BJ50,0)</f>
        <v>0</v>
      </c>
      <c r="AB50" s="86">
        <f aca="true" t="shared" si="2" ref="AB50:AB64">IF(AQ50="1",BH50,0)</f>
        <v>0</v>
      </c>
      <c r="AC50" s="86">
        <f aca="true" t="shared" si="3" ref="AC50:AC64">IF(AQ50="1",BI50,0)</f>
        <v>0</v>
      </c>
      <c r="AD50" s="86">
        <f aca="true" t="shared" si="4" ref="AD50:AD64">IF(AQ50="7",BH50,0)</f>
        <v>0</v>
      </c>
      <c r="AE50" s="86">
        <f aca="true" t="shared" si="5" ref="AE50:AE64">IF(AQ50="7",BI50,0)</f>
        <v>0</v>
      </c>
      <c r="AF50" s="86">
        <f aca="true" t="shared" si="6" ref="AF50:AF64">IF(AQ50="2",BH50,0)</f>
        <v>0</v>
      </c>
      <c r="AG50" s="86">
        <f aca="true" t="shared" si="7" ref="AG50:AG64">IF(AQ50="2",BI50,0)</f>
        <v>0</v>
      </c>
      <c r="AH50" s="86">
        <f aca="true" t="shared" si="8" ref="AH50:AH64">IF(AQ50="0",BJ50,0)</f>
        <v>0</v>
      </c>
      <c r="AI50" s="66"/>
      <c r="AJ50" s="84">
        <f aca="true" t="shared" si="9" ref="AJ50:AJ64">IF(AN50=0,L50,0)</f>
        <v>0</v>
      </c>
      <c r="AK50" s="84">
        <f aca="true" t="shared" si="10" ref="AK50:AK64">IF(AN50=15,L50,0)</f>
        <v>0</v>
      </c>
      <c r="AL50" s="84">
        <f aca="true" t="shared" si="11" ref="AL50:AL64">IF(AN50=21,L50,0)</f>
        <v>0</v>
      </c>
      <c r="AN50" s="86">
        <v>15</v>
      </c>
      <c r="AO50" s="86">
        <f>I50*1</f>
        <v>0</v>
      </c>
      <c r="AP50" s="86">
        <f>I50*(1-1)</f>
        <v>0</v>
      </c>
      <c r="AQ50" s="87" t="s">
        <v>8</v>
      </c>
      <c r="AV50" s="86">
        <f aca="true" t="shared" si="12" ref="AV50:AV64">AW50+AX50</f>
        <v>0</v>
      </c>
      <c r="AW50" s="86">
        <f aca="true" t="shared" si="13" ref="AW50:AW64">H50*AO50</f>
        <v>0</v>
      </c>
      <c r="AX50" s="86">
        <f aca="true" t="shared" si="14" ref="AX50:AX64">H50*AP50</f>
        <v>0</v>
      </c>
      <c r="AY50" s="88" t="s">
        <v>177</v>
      </c>
      <c r="AZ50" s="88" t="s">
        <v>183</v>
      </c>
      <c r="BA50" s="66" t="s">
        <v>184</v>
      </c>
      <c r="BC50" s="86">
        <f aca="true" t="shared" si="15" ref="BC50:BC64">AW50+AX50</f>
        <v>0</v>
      </c>
      <c r="BD50" s="86">
        <f aca="true" t="shared" si="16" ref="BD50:BD64">I50/(100-BE50)*100</f>
        <v>0</v>
      </c>
      <c r="BE50" s="86">
        <v>0</v>
      </c>
      <c r="BF50" s="86">
        <f>50</f>
        <v>50</v>
      </c>
      <c r="BH50" s="84">
        <f aca="true" t="shared" si="17" ref="BH50:BH64">H50*AO50</f>
        <v>0</v>
      </c>
      <c r="BI50" s="84">
        <f aca="true" t="shared" si="18" ref="BI50:BI64">H50*AP50</f>
        <v>0</v>
      </c>
      <c r="BJ50" s="84">
        <f aca="true" t="shared" si="19" ref="BJ50:BJ64">H50*I50</f>
        <v>0</v>
      </c>
      <c r="BK50" s="84" t="s">
        <v>189</v>
      </c>
      <c r="BL50" s="86" t="s">
        <v>68</v>
      </c>
    </row>
    <row r="51" spans="1:64" ht="12.75">
      <c r="A51" s="81" t="s">
        <v>26</v>
      </c>
      <c r="B51" s="82" t="s">
        <v>69</v>
      </c>
      <c r="C51" s="204" t="s">
        <v>112</v>
      </c>
      <c r="D51" s="205"/>
      <c r="E51" s="205"/>
      <c r="F51" s="205"/>
      <c r="G51" s="82" t="s">
        <v>138</v>
      </c>
      <c r="H51" s="83">
        <v>1</v>
      </c>
      <c r="I51" s="84">
        <f>Elektro!E19</f>
        <v>0</v>
      </c>
      <c r="J51" s="84">
        <f aca="true" t="shared" si="20" ref="J51:J64">H51*AO51</f>
        <v>0</v>
      </c>
      <c r="K51" s="84">
        <f aca="true" t="shared" si="21" ref="K51:K64">H51*AP51</f>
        <v>0</v>
      </c>
      <c r="L51" s="84">
        <f t="shared" si="0"/>
        <v>0</v>
      </c>
      <c r="M51" s="85"/>
      <c r="N51" s="59"/>
      <c r="Z51" s="86">
        <f t="shared" si="1"/>
        <v>0</v>
      </c>
      <c r="AB51" s="86">
        <f t="shared" si="2"/>
        <v>0</v>
      </c>
      <c r="AC51" s="86">
        <f t="shared" si="3"/>
        <v>0</v>
      </c>
      <c r="AD51" s="86">
        <f t="shared" si="4"/>
        <v>0</v>
      </c>
      <c r="AE51" s="86">
        <f t="shared" si="5"/>
        <v>0</v>
      </c>
      <c r="AF51" s="86">
        <f t="shared" si="6"/>
        <v>0</v>
      </c>
      <c r="AG51" s="86">
        <f t="shared" si="7"/>
        <v>0</v>
      </c>
      <c r="AH51" s="86">
        <f t="shared" si="8"/>
        <v>0</v>
      </c>
      <c r="AI51" s="66"/>
      <c r="AJ51" s="84">
        <f t="shared" si="9"/>
        <v>0</v>
      </c>
      <c r="AK51" s="84">
        <f t="shared" si="10"/>
        <v>0</v>
      </c>
      <c r="AL51" s="84">
        <f t="shared" si="11"/>
        <v>0</v>
      </c>
      <c r="AN51" s="86">
        <v>15</v>
      </c>
      <c r="AO51" s="86">
        <f>I51*0</f>
        <v>0</v>
      </c>
      <c r="AP51" s="86">
        <f>I51*(1-0)</f>
        <v>0</v>
      </c>
      <c r="AQ51" s="87" t="s">
        <v>8</v>
      </c>
      <c r="AV51" s="86">
        <f t="shared" si="12"/>
        <v>0</v>
      </c>
      <c r="AW51" s="86">
        <f t="shared" si="13"/>
        <v>0</v>
      </c>
      <c r="AX51" s="86">
        <f t="shared" si="14"/>
        <v>0</v>
      </c>
      <c r="AY51" s="88" t="s">
        <v>177</v>
      </c>
      <c r="AZ51" s="88" t="s">
        <v>183</v>
      </c>
      <c r="BA51" s="66" t="s">
        <v>184</v>
      </c>
      <c r="BC51" s="86">
        <f t="shared" si="15"/>
        <v>0</v>
      </c>
      <c r="BD51" s="86">
        <f t="shared" si="16"/>
        <v>0</v>
      </c>
      <c r="BE51" s="86">
        <v>0</v>
      </c>
      <c r="BF51" s="86">
        <f>51</f>
        <v>51</v>
      </c>
      <c r="BH51" s="84">
        <f t="shared" si="17"/>
        <v>0</v>
      </c>
      <c r="BI51" s="84">
        <f t="shared" si="18"/>
        <v>0</v>
      </c>
      <c r="BJ51" s="84">
        <f t="shared" si="19"/>
        <v>0</v>
      </c>
      <c r="BK51" s="84" t="s">
        <v>189</v>
      </c>
      <c r="BL51" s="86" t="s">
        <v>68</v>
      </c>
    </row>
    <row r="52" spans="1:64" ht="12.75">
      <c r="A52" s="81" t="s">
        <v>27</v>
      </c>
      <c r="B52" s="82" t="s">
        <v>69</v>
      </c>
      <c r="C52" s="204" t="s">
        <v>113</v>
      </c>
      <c r="D52" s="205"/>
      <c r="E52" s="205"/>
      <c r="F52" s="205"/>
      <c r="G52" s="82" t="s">
        <v>138</v>
      </c>
      <c r="H52" s="83">
        <v>1</v>
      </c>
      <c r="I52" s="84">
        <f>Elektro!E27</f>
        <v>0</v>
      </c>
      <c r="J52" s="84">
        <f t="shared" si="20"/>
        <v>0</v>
      </c>
      <c r="K52" s="84">
        <f t="shared" si="21"/>
        <v>0</v>
      </c>
      <c r="L52" s="84">
        <f t="shared" si="0"/>
        <v>0</v>
      </c>
      <c r="M52" s="85" t="s">
        <v>158</v>
      </c>
      <c r="N52" s="59"/>
      <c r="Z52" s="86">
        <f t="shared" si="1"/>
        <v>0</v>
      </c>
      <c r="AB52" s="86">
        <f t="shared" si="2"/>
        <v>0</v>
      </c>
      <c r="AC52" s="86">
        <f t="shared" si="3"/>
        <v>0</v>
      </c>
      <c r="AD52" s="86">
        <f t="shared" si="4"/>
        <v>0</v>
      </c>
      <c r="AE52" s="86">
        <f t="shared" si="5"/>
        <v>0</v>
      </c>
      <c r="AF52" s="86">
        <f t="shared" si="6"/>
        <v>0</v>
      </c>
      <c r="AG52" s="86">
        <f t="shared" si="7"/>
        <v>0</v>
      </c>
      <c r="AH52" s="86">
        <f t="shared" si="8"/>
        <v>0</v>
      </c>
      <c r="AI52" s="66"/>
      <c r="AJ52" s="84">
        <f t="shared" si="9"/>
        <v>0</v>
      </c>
      <c r="AK52" s="84">
        <f t="shared" si="10"/>
        <v>0</v>
      </c>
      <c r="AL52" s="84">
        <f t="shared" si="11"/>
        <v>0</v>
      </c>
      <c r="AN52" s="86">
        <v>15</v>
      </c>
      <c r="AO52" s="86">
        <f>I52*1</f>
        <v>0</v>
      </c>
      <c r="AP52" s="86">
        <f>I52*(1-1)</f>
        <v>0</v>
      </c>
      <c r="AQ52" s="87" t="s">
        <v>8</v>
      </c>
      <c r="AV52" s="86">
        <f t="shared" si="12"/>
        <v>0</v>
      </c>
      <c r="AW52" s="86">
        <f t="shared" si="13"/>
        <v>0</v>
      </c>
      <c r="AX52" s="86">
        <f t="shared" si="14"/>
        <v>0</v>
      </c>
      <c r="AY52" s="88" t="s">
        <v>177</v>
      </c>
      <c r="AZ52" s="88" t="s">
        <v>183</v>
      </c>
      <c r="BA52" s="66" t="s">
        <v>184</v>
      </c>
      <c r="BC52" s="86">
        <f t="shared" si="15"/>
        <v>0</v>
      </c>
      <c r="BD52" s="86">
        <f t="shared" si="16"/>
        <v>0</v>
      </c>
      <c r="BE52" s="86">
        <v>0</v>
      </c>
      <c r="BF52" s="86">
        <f>52</f>
        <v>52</v>
      </c>
      <c r="BH52" s="84">
        <f t="shared" si="17"/>
        <v>0</v>
      </c>
      <c r="BI52" s="84">
        <f t="shared" si="18"/>
        <v>0</v>
      </c>
      <c r="BJ52" s="84">
        <f t="shared" si="19"/>
        <v>0</v>
      </c>
      <c r="BK52" s="84" t="s">
        <v>189</v>
      </c>
      <c r="BL52" s="86" t="s">
        <v>68</v>
      </c>
    </row>
    <row r="53" spans="1:64" ht="12.75">
      <c r="A53" s="81" t="s">
        <v>28</v>
      </c>
      <c r="B53" s="82" t="s">
        <v>69</v>
      </c>
      <c r="C53" s="204" t="s">
        <v>114</v>
      </c>
      <c r="D53" s="205"/>
      <c r="E53" s="205"/>
      <c r="F53" s="205"/>
      <c r="G53" s="82" t="s">
        <v>138</v>
      </c>
      <c r="H53" s="83">
        <v>1</v>
      </c>
      <c r="I53" s="84">
        <f>Elektro!E33</f>
        <v>0</v>
      </c>
      <c r="J53" s="84">
        <f t="shared" si="20"/>
        <v>0</v>
      </c>
      <c r="K53" s="84">
        <f t="shared" si="21"/>
        <v>0</v>
      </c>
      <c r="L53" s="84">
        <f t="shared" si="0"/>
        <v>0</v>
      </c>
      <c r="M53" s="85"/>
      <c r="N53" s="59"/>
      <c r="Z53" s="86">
        <f t="shared" si="1"/>
        <v>0</v>
      </c>
      <c r="AB53" s="86">
        <f t="shared" si="2"/>
        <v>0</v>
      </c>
      <c r="AC53" s="86">
        <f t="shared" si="3"/>
        <v>0</v>
      </c>
      <c r="AD53" s="86">
        <f t="shared" si="4"/>
        <v>0</v>
      </c>
      <c r="AE53" s="86">
        <f t="shared" si="5"/>
        <v>0</v>
      </c>
      <c r="AF53" s="86">
        <f t="shared" si="6"/>
        <v>0</v>
      </c>
      <c r="AG53" s="86">
        <f t="shared" si="7"/>
        <v>0</v>
      </c>
      <c r="AH53" s="86">
        <f t="shared" si="8"/>
        <v>0</v>
      </c>
      <c r="AI53" s="66"/>
      <c r="AJ53" s="84">
        <f t="shared" si="9"/>
        <v>0</v>
      </c>
      <c r="AK53" s="84">
        <f t="shared" si="10"/>
        <v>0</v>
      </c>
      <c r="AL53" s="84">
        <f t="shared" si="11"/>
        <v>0</v>
      </c>
      <c r="AN53" s="86">
        <v>15</v>
      </c>
      <c r="AO53" s="86">
        <f>I53*0</f>
        <v>0</v>
      </c>
      <c r="AP53" s="86">
        <f>I53*(1-0)</f>
        <v>0</v>
      </c>
      <c r="AQ53" s="87" t="s">
        <v>8</v>
      </c>
      <c r="AV53" s="86">
        <f t="shared" si="12"/>
        <v>0</v>
      </c>
      <c r="AW53" s="86">
        <f t="shared" si="13"/>
        <v>0</v>
      </c>
      <c r="AX53" s="86">
        <f t="shared" si="14"/>
        <v>0</v>
      </c>
      <c r="AY53" s="88" t="s">
        <v>177</v>
      </c>
      <c r="AZ53" s="88" t="s">
        <v>183</v>
      </c>
      <c r="BA53" s="66" t="s">
        <v>184</v>
      </c>
      <c r="BC53" s="86">
        <f t="shared" si="15"/>
        <v>0</v>
      </c>
      <c r="BD53" s="86">
        <f t="shared" si="16"/>
        <v>0</v>
      </c>
      <c r="BE53" s="86">
        <v>0</v>
      </c>
      <c r="BF53" s="86">
        <f>53</f>
        <v>53</v>
      </c>
      <c r="BH53" s="84">
        <f t="shared" si="17"/>
        <v>0</v>
      </c>
      <c r="BI53" s="84">
        <f t="shared" si="18"/>
        <v>0</v>
      </c>
      <c r="BJ53" s="84">
        <f t="shared" si="19"/>
        <v>0</v>
      </c>
      <c r="BK53" s="84" t="s">
        <v>189</v>
      </c>
      <c r="BL53" s="86" t="s">
        <v>68</v>
      </c>
    </row>
    <row r="54" spans="1:64" ht="12.75">
      <c r="A54" s="81" t="s">
        <v>29</v>
      </c>
      <c r="B54" s="82" t="s">
        <v>69</v>
      </c>
      <c r="C54" s="204" t="s">
        <v>115</v>
      </c>
      <c r="D54" s="205"/>
      <c r="E54" s="205"/>
      <c r="F54" s="205"/>
      <c r="G54" s="82" t="s">
        <v>138</v>
      </c>
      <c r="H54" s="83">
        <v>1</v>
      </c>
      <c r="I54" s="84">
        <f>Elektro!E40</f>
        <v>0</v>
      </c>
      <c r="J54" s="84">
        <f t="shared" si="20"/>
        <v>0</v>
      </c>
      <c r="K54" s="84">
        <f t="shared" si="21"/>
        <v>0</v>
      </c>
      <c r="L54" s="84">
        <f t="shared" si="0"/>
        <v>0</v>
      </c>
      <c r="M54" s="85"/>
      <c r="N54" s="59"/>
      <c r="Z54" s="86">
        <f t="shared" si="1"/>
        <v>0</v>
      </c>
      <c r="AB54" s="86">
        <f t="shared" si="2"/>
        <v>0</v>
      </c>
      <c r="AC54" s="86">
        <f t="shared" si="3"/>
        <v>0</v>
      </c>
      <c r="AD54" s="86">
        <f t="shared" si="4"/>
        <v>0</v>
      </c>
      <c r="AE54" s="86">
        <f t="shared" si="5"/>
        <v>0</v>
      </c>
      <c r="AF54" s="86">
        <f t="shared" si="6"/>
        <v>0</v>
      </c>
      <c r="AG54" s="86">
        <f t="shared" si="7"/>
        <v>0</v>
      </c>
      <c r="AH54" s="86">
        <f t="shared" si="8"/>
        <v>0</v>
      </c>
      <c r="AI54" s="66"/>
      <c r="AJ54" s="84">
        <f t="shared" si="9"/>
        <v>0</v>
      </c>
      <c r="AK54" s="84">
        <f t="shared" si="10"/>
        <v>0</v>
      </c>
      <c r="AL54" s="84">
        <f t="shared" si="11"/>
        <v>0</v>
      </c>
      <c r="AN54" s="86">
        <v>15</v>
      </c>
      <c r="AO54" s="86">
        <f>I54*1</f>
        <v>0</v>
      </c>
      <c r="AP54" s="86">
        <f>I54*(1-1)</f>
        <v>0</v>
      </c>
      <c r="AQ54" s="87" t="s">
        <v>8</v>
      </c>
      <c r="AV54" s="86">
        <f t="shared" si="12"/>
        <v>0</v>
      </c>
      <c r="AW54" s="86">
        <f t="shared" si="13"/>
        <v>0</v>
      </c>
      <c r="AX54" s="86">
        <f t="shared" si="14"/>
        <v>0</v>
      </c>
      <c r="AY54" s="88" t="s">
        <v>177</v>
      </c>
      <c r="AZ54" s="88" t="s">
        <v>183</v>
      </c>
      <c r="BA54" s="66" t="s">
        <v>184</v>
      </c>
      <c r="BC54" s="86">
        <f t="shared" si="15"/>
        <v>0</v>
      </c>
      <c r="BD54" s="86">
        <f t="shared" si="16"/>
        <v>0</v>
      </c>
      <c r="BE54" s="86">
        <v>0</v>
      </c>
      <c r="BF54" s="86">
        <f>54</f>
        <v>54</v>
      </c>
      <c r="BH54" s="84">
        <f t="shared" si="17"/>
        <v>0</v>
      </c>
      <c r="BI54" s="84">
        <f t="shared" si="18"/>
        <v>0</v>
      </c>
      <c r="BJ54" s="84">
        <f t="shared" si="19"/>
        <v>0</v>
      </c>
      <c r="BK54" s="84" t="s">
        <v>189</v>
      </c>
      <c r="BL54" s="86" t="s">
        <v>68</v>
      </c>
    </row>
    <row r="55" spans="1:64" ht="12.75">
      <c r="A55" s="81" t="s">
        <v>30</v>
      </c>
      <c r="B55" s="82" t="s">
        <v>69</v>
      </c>
      <c r="C55" s="204" t="s">
        <v>116</v>
      </c>
      <c r="D55" s="205"/>
      <c r="E55" s="205"/>
      <c r="F55" s="205"/>
      <c r="G55" s="82" t="s">
        <v>138</v>
      </c>
      <c r="H55" s="83">
        <v>1</v>
      </c>
      <c r="I55" s="84">
        <f>Elektro!E47</f>
        <v>0</v>
      </c>
      <c r="J55" s="84">
        <f t="shared" si="20"/>
        <v>0</v>
      </c>
      <c r="K55" s="84">
        <f t="shared" si="21"/>
        <v>0</v>
      </c>
      <c r="L55" s="84">
        <f t="shared" si="0"/>
        <v>0</v>
      </c>
      <c r="M55" s="85"/>
      <c r="N55" s="59"/>
      <c r="Z55" s="86">
        <f t="shared" si="1"/>
        <v>0</v>
      </c>
      <c r="AB55" s="86">
        <f t="shared" si="2"/>
        <v>0</v>
      </c>
      <c r="AC55" s="86">
        <f t="shared" si="3"/>
        <v>0</v>
      </c>
      <c r="AD55" s="86">
        <f t="shared" si="4"/>
        <v>0</v>
      </c>
      <c r="AE55" s="86">
        <f t="shared" si="5"/>
        <v>0</v>
      </c>
      <c r="AF55" s="86">
        <f t="shared" si="6"/>
        <v>0</v>
      </c>
      <c r="AG55" s="86">
        <f t="shared" si="7"/>
        <v>0</v>
      </c>
      <c r="AH55" s="86">
        <f t="shared" si="8"/>
        <v>0</v>
      </c>
      <c r="AI55" s="66"/>
      <c r="AJ55" s="84">
        <f t="shared" si="9"/>
        <v>0</v>
      </c>
      <c r="AK55" s="84">
        <f t="shared" si="10"/>
        <v>0</v>
      </c>
      <c r="AL55" s="84">
        <f t="shared" si="11"/>
        <v>0</v>
      </c>
      <c r="AN55" s="86">
        <v>15</v>
      </c>
      <c r="AO55" s="86">
        <f>I55*0</f>
        <v>0</v>
      </c>
      <c r="AP55" s="86">
        <f>I55*(1-0)</f>
        <v>0</v>
      </c>
      <c r="AQ55" s="87" t="s">
        <v>8</v>
      </c>
      <c r="AV55" s="86">
        <f t="shared" si="12"/>
        <v>0</v>
      </c>
      <c r="AW55" s="86">
        <f t="shared" si="13"/>
        <v>0</v>
      </c>
      <c r="AX55" s="86">
        <f t="shared" si="14"/>
        <v>0</v>
      </c>
      <c r="AY55" s="88" t="s">
        <v>177</v>
      </c>
      <c r="AZ55" s="88" t="s">
        <v>183</v>
      </c>
      <c r="BA55" s="66" t="s">
        <v>184</v>
      </c>
      <c r="BC55" s="86">
        <f t="shared" si="15"/>
        <v>0</v>
      </c>
      <c r="BD55" s="86">
        <f t="shared" si="16"/>
        <v>0</v>
      </c>
      <c r="BE55" s="86">
        <v>0</v>
      </c>
      <c r="BF55" s="86">
        <f>55</f>
        <v>55</v>
      </c>
      <c r="BH55" s="84">
        <f t="shared" si="17"/>
        <v>0</v>
      </c>
      <c r="BI55" s="84">
        <f t="shared" si="18"/>
        <v>0</v>
      </c>
      <c r="BJ55" s="84">
        <f t="shared" si="19"/>
        <v>0</v>
      </c>
      <c r="BK55" s="84" t="s">
        <v>189</v>
      </c>
      <c r="BL55" s="86" t="s">
        <v>68</v>
      </c>
    </row>
    <row r="56" spans="1:64" ht="12.75">
      <c r="A56" s="81" t="s">
        <v>31</v>
      </c>
      <c r="B56" s="82" t="s">
        <v>69</v>
      </c>
      <c r="C56" s="204" t="s">
        <v>117</v>
      </c>
      <c r="D56" s="205"/>
      <c r="E56" s="205"/>
      <c r="F56" s="205"/>
      <c r="G56" s="82" t="s">
        <v>138</v>
      </c>
      <c r="H56" s="83">
        <v>1</v>
      </c>
      <c r="I56" s="84">
        <f>Elektro!E61</f>
        <v>0</v>
      </c>
      <c r="J56" s="84">
        <f t="shared" si="20"/>
        <v>0</v>
      </c>
      <c r="K56" s="84">
        <f t="shared" si="21"/>
        <v>0</v>
      </c>
      <c r="L56" s="84">
        <f t="shared" si="0"/>
        <v>0</v>
      </c>
      <c r="M56" s="85"/>
      <c r="N56" s="59"/>
      <c r="Z56" s="86">
        <f t="shared" si="1"/>
        <v>0</v>
      </c>
      <c r="AB56" s="86">
        <f t="shared" si="2"/>
        <v>0</v>
      </c>
      <c r="AC56" s="86">
        <f t="shared" si="3"/>
        <v>0</v>
      </c>
      <c r="AD56" s="86">
        <f t="shared" si="4"/>
        <v>0</v>
      </c>
      <c r="AE56" s="86">
        <f t="shared" si="5"/>
        <v>0</v>
      </c>
      <c r="AF56" s="86">
        <f t="shared" si="6"/>
        <v>0</v>
      </c>
      <c r="AG56" s="86">
        <f t="shared" si="7"/>
        <v>0</v>
      </c>
      <c r="AH56" s="86">
        <f t="shared" si="8"/>
        <v>0</v>
      </c>
      <c r="AI56" s="66"/>
      <c r="AJ56" s="84">
        <f t="shared" si="9"/>
        <v>0</v>
      </c>
      <c r="AK56" s="84">
        <f t="shared" si="10"/>
        <v>0</v>
      </c>
      <c r="AL56" s="84">
        <f t="shared" si="11"/>
        <v>0</v>
      </c>
      <c r="AN56" s="86">
        <v>15</v>
      </c>
      <c r="AO56" s="86">
        <f aca="true" t="shared" si="22" ref="AO56:AO61">I56*1</f>
        <v>0</v>
      </c>
      <c r="AP56" s="86">
        <f aca="true" t="shared" si="23" ref="AP56:AP61">I56*(1-1)</f>
        <v>0</v>
      </c>
      <c r="AQ56" s="87" t="s">
        <v>8</v>
      </c>
      <c r="AV56" s="86">
        <f t="shared" si="12"/>
        <v>0</v>
      </c>
      <c r="AW56" s="86">
        <f t="shared" si="13"/>
        <v>0</v>
      </c>
      <c r="AX56" s="86">
        <f t="shared" si="14"/>
        <v>0</v>
      </c>
      <c r="AY56" s="88" t="s">
        <v>177</v>
      </c>
      <c r="AZ56" s="88" t="s">
        <v>183</v>
      </c>
      <c r="BA56" s="66" t="s">
        <v>184</v>
      </c>
      <c r="BC56" s="86">
        <f t="shared" si="15"/>
        <v>0</v>
      </c>
      <c r="BD56" s="86">
        <f t="shared" si="16"/>
        <v>0</v>
      </c>
      <c r="BE56" s="86">
        <v>0</v>
      </c>
      <c r="BF56" s="86">
        <f>56</f>
        <v>56</v>
      </c>
      <c r="BH56" s="84">
        <f t="shared" si="17"/>
        <v>0</v>
      </c>
      <c r="BI56" s="84">
        <f t="shared" si="18"/>
        <v>0</v>
      </c>
      <c r="BJ56" s="84">
        <f t="shared" si="19"/>
        <v>0</v>
      </c>
      <c r="BK56" s="84" t="s">
        <v>189</v>
      </c>
      <c r="BL56" s="86" t="s">
        <v>68</v>
      </c>
    </row>
    <row r="57" spans="1:64" ht="12.75">
      <c r="A57" s="81" t="s">
        <v>32</v>
      </c>
      <c r="B57" s="82" t="s">
        <v>69</v>
      </c>
      <c r="C57" s="204" t="s">
        <v>118</v>
      </c>
      <c r="D57" s="205"/>
      <c r="E57" s="205"/>
      <c r="F57" s="205"/>
      <c r="G57" s="82" t="s">
        <v>138</v>
      </c>
      <c r="H57" s="83">
        <v>1</v>
      </c>
      <c r="I57" s="84">
        <f>Elektro!E70</f>
        <v>0</v>
      </c>
      <c r="J57" s="84">
        <f t="shared" si="20"/>
        <v>0</v>
      </c>
      <c r="K57" s="84">
        <f t="shared" si="21"/>
        <v>0</v>
      </c>
      <c r="L57" s="84">
        <f t="shared" si="0"/>
        <v>0</v>
      </c>
      <c r="M57" s="85"/>
      <c r="N57" s="59"/>
      <c r="Z57" s="86">
        <f t="shared" si="1"/>
        <v>0</v>
      </c>
      <c r="AB57" s="86">
        <f t="shared" si="2"/>
        <v>0</v>
      </c>
      <c r="AC57" s="86">
        <f t="shared" si="3"/>
        <v>0</v>
      </c>
      <c r="AD57" s="86">
        <f t="shared" si="4"/>
        <v>0</v>
      </c>
      <c r="AE57" s="86">
        <f t="shared" si="5"/>
        <v>0</v>
      </c>
      <c r="AF57" s="86">
        <f t="shared" si="6"/>
        <v>0</v>
      </c>
      <c r="AG57" s="86">
        <f t="shared" si="7"/>
        <v>0</v>
      </c>
      <c r="AH57" s="86">
        <f t="shared" si="8"/>
        <v>0</v>
      </c>
      <c r="AI57" s="66"/>
      <c r="AJ57" s="84">
        <f t="shared" si="9"/>
        <v>0</v>
      </c>
      <c r="AK57" s="84">
        <f t="shared" si="10"/>
        <v>0</v>
      </c>
      <c r="AL57" s="84">
        <f t="shared" si="11"/>
        <v>0</v>
      </c>
      <c r="AN57" s="86">
        <v>15</v>
      </c>
      <c r="AO57" s="86">
        <f t="shared" si="22"/>
        <v>0</v>
      </c>
      <c r="AP57" s="86">
        <f t="shared" si="23"/>
        <v>0</v>
      </c>
      <c r="AQ57" s="87" t="s">
        <v>8</v>
      </c>
      <c r="AV57" s="86">
        <f t="shared" si="12"/>
        <v>0</v>
      </c>
      <c r="AW57" s="86">
        <f t="shared" si="13"/>
        <v>0</v>
      </c>
      <c r="AX57" s="86">
        <f t="shared" si="14"/>
        <v>0</v>
      </c>
      <c r="AY57" s="88" t="s">
        <v>177</v>
      </c>
      <c r="AZ57" s="88" t="s">
        <v>183</v>
      </c>
      <c r="BA57" s="66" t="s">
        <v>184</v>
      </c>
      <c r="BC57" s="86">
        <f t="shared" si="15"/>
        <v>0</v>
      </c>
      <c r="BD57" s="86">
        <f t="shared" si="16"/>
        <v>0</v>
      </c>
      <c r="BE57" s="86">
        <v>0</v>
      </c>
      <c r="BF57" s="86">
        <f>57</f>
        <v>57</v>
      </c>
      <c r="BH57" s="84">
        <f t="shared" si="17"/>
        <v>0</v>
      </c>
      <c r="BI57" s="84">
        <f t="shared" si="18"/>
        <v>0</v>
      </c>
      <c r="BJ57" s="84">
        <f t="shared" si="19"/>
        <v>0</v>
      </c>
      <c r="BK57" s="84" t="s">
        <v>189</v>
      </c>
      <c r="BL57" s="86" t="s">
        <v>68</v>
      </c>
    </row>
    <row r="58" spans="1:64" ht="12.75">
      <c r="A58" s="81" t="s">
        <v>33</v>
      </c>
      <c r="B58" s="82" t="s">
        <v>69</v>
      </c>
      <c r="C58" s="204" t="s">
        <v>119</v>
      </c>
      <c r="D58" s="205"/>
      <c r="E58" s="205"/>
      <c r="F58" s="205"/>
      <c r="G58" s="82" t="s">
        <v>138</v>
      </c>
      <c r="H58" s="83">
        <v>1</v>
      </c>
      <c r="I58" s="84">
        <f>Elektro!E80</f>
        <v>0</v>
      </c>
      <c r="J58" s="84">
        <f t="shared" si="20"/>
        <v>0</v>
      </c>
      <c r="K58" s="84">
        <f t="shared" si="21"/>
        <v>0</v>
      </c>
      <c r="L58" s="84">
        <f t="shared" si="0"/>
        <v>0</v>
      </c>
      <c r="M58" s="85"/>
      <c r="N58" s="59"/>
      <c r="Z58" s="86">
        <f t="shared" si="1"/>
        <v>0</v>
      </c>
      <c r="AB58" s="86">
        <f t="shared" si="2"/>
        <v>0</v>
      </c>
      <c r="AC58" s="86">
        <f t="shared" si="3"/>
        <v>0</v>
      </c>
      <c r="AD58" s="86">
        <f t="shared" si="4"/>
        <v>0</v>
      </c>
      <c r="AE58" s="86">
        <f t="shared" si="5"/>
        <v>0</v>
      </c>
      <c r="AF58" s="86">
        <f t="shared" si="6"/>
        <v>0</v>
      </c>
      <c r="AG58" s="86">
        <f t="shared" si="7"/>
        <v>0</v>
      </c>
      <c r="AH58" s="86">
        <f t="shared" si="8"/>
        <v>0</v>
      </c>
      <c r="AI58" s="66"/>
      <c r="AJ58" s="84">
        <f t="shared" si="9"/>
        <v>0</v>
      </c>
      <c r="AK58" s="84">
        <f t="shared" si="10"/>
        <v>0</v>
      </c>
      <c r="AL58" s="84">
        <f t="shared" si="11"/>
        <v>0</v>
      </c>
      <c r="AN58" s="86">
        <v>15</v>
      </c>
      <c r="AO58" s="86">
        <f t="shared" si="22"/>
        <v>0</v>
      </c>
      <c r="AP58" s="86">
        <f t="shared" si="23"/>
        <v>0</v>
      </c>
      <c r="AQ58" s="87" t="s">
        <v>8</v>
      </c>
      <c r="AV58" s="86">
        <f t="shared" si="12"/>
        <v>0</v>
      </c>
      <c r="AW58" s="86">
        <f t="shared" si="13"/>
        <v>0</v>
      </c>
      <c r="AX58" s="86">
        <f t="shared" si="14"/>
        <v>0</v>
      </c>
      <c r="AY58" s="88" t="s">
        <v>177</v>
      </c>
      <c r="AZ58" s="88" t="s">
        <v>183</v>
      </c>
      <c r="BA58" s="66" t="s">
        <v>184</v>
      </c>
      <c r="BC58" s="86">
        <f t="shared" si="15"/>
        <v>0</v>
      </c>
      <c r="BD58" s="86">
        <f t="shared" si="16"/>
        <v>0</v>
      </c>
      <c r="BE58" s="86">
        <v>0</v>
      </c>
      <c r="BF58" s="86">
        <f>58</f>
        <v>58</v>
      </c>
      <c r="BH58" s="84">
        <f t="shared" si="17"/>
        <v>0</v>
      </c>
      <c r="BI58" s="84">
        <f t="shared" si="18"/>
        <v>0</v>
      </c>
      <c r="BJ58" s="84">
        <f t="shared" si="19"/>
        <v>0</v>
      </c>
      <c r="BK58" s="84" t="s">
        <v>189</v>
      </c>
      <c r="BL58" s="86" t="s">
        <v>68</v>
      </c>
    </row>
    <row r="59" spans="1:64" ht="12.75">
      <c r="A59" s="81" t="s">
        <v>34</v>
      </c>
      <c r="B59" s="82" t="s">
        <v>69</v>
      </c>
      <c r="C59" s="204" t="s">
        <v>120</v>
      </c>
      <c r="D59" s="205"/>
      <c r="E59" s="205"/>
      <c r="F59" s="205"/>
      <c r="G59" s="82" t="s">
        <v>138</v>
      </c>
      <c r="H59" s="83">
        <v>1</v>
      </c>
      <c r="I59" s="84">
        <f>Elektro!E90</f>
        <v>0</v>
      </c>
      <c r="J59" s="84">
        <f t="shared" si="20"/>
        <v>0</v>
      </c>
      <c r="K59" s="84">
        <f t="shared" si="21"/>
        <v>0</v>
      </c>
      <c r="L59" s="84">
        <f t="shared" si="0"/>
        <v>0</v>
      </c>
      <c r="M59" s="85"/>
      <c r="N59" s="59"/>
      <c r="Z59" s="86">
        <f t="shared" si="1"/>
        <v>0</v>
      </c>
      <c r="AB59" s="86">
        <f t="shared" si="2"/>
        <v>0</v>
      </c>
      <c r="AC59" s="86">
        <f t="shared" si="3"/>
        <v>0</v>
      </c>
      <c r="AD59" s="86">
        <f t="shared" si="4"/>
        <v>0</v>
      </c>
      <c r="AE59" s="86">
        <f t="shared" si="5"/>
        <v>0</v>
      </c>
      <c r="AF59" s="86">
        <f t="shared" si="6"/>
        <v>0</v>
      </c>
      <c r="AG59" s="86">
        <f t="shared" si="7"/>
        <v>0</v>
      </c>
      <c r="AH59" s="86">
        <f t="shared" si="8"/>
        <v>0</v>
      </c>
      <c r="AI59" s="66"/>
      <c r="AJ59" s="84">
        <f t="shared" si="9"/>
        <v>0</v>
      </c>
      <c r="AK59" s="84">
        <f t="shared" si="10"/>
        <v>0</v>
      </c>
      <c r="AL59" s="84">
        <f t="shared" si="11"/>
        <v>0</v>
      </c>
      <c r="AN59" s="86">
        <v>15</v>
      </c>
      <c r="AO59" s="86">
        <f t="shared" si="22"/>
        <v>0</v>
      </c>
      <c r="AP59" s="86">
        <f t="shared" si="23"/>
        <v>0</v>
      </c>
      <c r="AQ59" s="87" t="s">
        <v>8</v>
      </c>
      <c r="AV59" s="86">
        <f t="shared" si="12"/>
        <v>0</v>
      </c>
      <c r="AW59" s="86">
        <f t="shared" si="13"/>
        <v>0</v>
      </c>
      <c r="AX59" s="86">
        <f t="shared" si="14"/>
        <v>0</v>
      </c>
      <c r="AY59" s="88" t="s">
        <v>177</v>
      </c>
      <c r="AZ59" s="88" t="s">
        <v>183</v>
      </c>
      <c r="BA59" s="66" t="s">
        <v>184</v>
      </c>
      <c r="BC59" s="86">
        <f t="shared" si="15"/>
        <v>0</v>
      </c>
      <c r="BD59" s="86">
        <f t="shared" si="16"/>
        <v>0</v>
      </c>
      <c r="BE59" s="86">
        <v>0</v>
      </c>
      <c r="BF59" s="86">
        <f>59</f>
        <v>59</v>
      </c>
      <c r="BH59" s="84">
        <f t="shared" si="17"/>
        <v>0</v>
      </c>
      <c r="BI59" s="84">
        <f t="shared" si="18"/>
        <v>0</v>
      </c>
      <c r="BJ59" s="84">
        <f t="shared" si="19"/>
        <v>0</v>
      </c>
      <c r="BK59" s="84" t="s">
        <v>189</v>
      </c>
      <c r="BL59" s="86" t="s">
        <v>68</v>
      </c>
    </row>
    <row r="60" spans="1:64" ht="12.75">
      <c r="A60" s="81" t="s">
        <v>35</v>
      </c>
      <c r="B60" s="82" t="s">
        <v>69</v>
      </c>
      <c r="C60" s="204" t="s">
        <v>121</v>
      </c>
      <c r="D60" s="205"/>
      <c r="E60" s="205"/>
      <c r="F60" s="205"/>
      <c r="G60" s="82" t="s">
        <v>138</v>
      </c>
      <c r="H60" s="83">
        <v>1</v>
      </c>
      <c r="I60" s="84">
        <f>Elektro!E109</f>
        <v>0</v>
      </c>
      <c r="J60" s="84">
        <f t="shared" si="20"/>
        <v>0</v>
      </c>
      <c r="K60" s="84">
        <f t="shared" si="21"/>
        <v>0</v>
      </c>
      <c r="L60" s="84">
        <f t="shared" si="0"/>
        <v>0</v>
      </c>
      <c r="M60" s="85"/>
      <c r="N60" s="59"/>
      <c r="Z60" s="86">
        <f t="shared" si="1"/>
        <v>0</v>
      </c>
      <c r="AB60" s="86">
        <f t="shared" si="2"/>
        <v>0</v>
      </c>
      <c r="AC60" s="86">
        <f t="shared" si="3"/>
        <v>0</v>
      </c>
      <c r="AD60" s="86">
        <f t="shared" si="4"/>
        <v>0</v>
      </c>
      <c r="AE60" s="86">
        <f t="shared" si="5"/>
        <v>0</v>
      </c>
      <c r="AF60" s="86">
        <f t="shared" si="6"/>
        <v>0</v>
      </c>
      <c r="AG60" s="86">
        <f t="shared" si="7"/>
        <v>0</v>
      </c>
      <c r="AH60" s="86">
        <f t="shared" si="8"/>
        <v>0</v>
      </c>
      <c r="AI60" s="66"/>
      <c r="AJ60" s="84">
        <f t="shared" si="9"/>
        <v>0</v>
      </c>
      <c r="AK60" s="84">
        <f t="shared" si="10"/>
        <v>0</v>
      </c>
      <c r="AL60" s="84">
        <f t="shared" si="11"/>
        <v>0</v>
      </c>
      <c r="AN60" s="86">
        <v>15</v>
      </c>
      <c r="AO60" s="86">
        <f t="shared" si="22"/>
        <v>0</v>
      </c>
      <c r="AP60" s="86">
        <f t="shared" si="23"/>
        <v>0</v>
      </c>
      <c r="AQ60" s="87" t="s">
        <v>8</v>
      </c>
      <c r="AV60" s="86">
        <f t="shared" si="12"/>
        <v>0</v>
      </c>
      <c r="AW60" s="86">
        <f t="shared" si="13"/>
        <v>0</v>
      </c>
      <c r="AX60" s="86">
        <f t="shared" si="14"/>
        <v>0</v>
      </c>
      <c r="AY60" s="88" t="s">
        <v>177</v>
      </c>
      <c r="AZ60" s="88" t="s">
        <v>183</v>
      </c>
      <c r="BA60" s="66" t="s">
        <v>184</v>
      </c>
      <c r="BC60" s="86">
        <f t="shared" si="15"/>
        <v>0</v>
      </c>
      <c r="BD60" s="86">
        <f t="shared" si="16"/>
        <v>0</v>
      </c>
      <c r="BE60" s="86">
        <v>0</v>
      </c>
      <c r="BF60" s="86">
        <f>60</f>
        <v>60</v>
      </c>
      <c r="BH60" s="84">
        <f t="shared" si="17"/>
        <v>0</v>
      </c>
      <c r="BI60" s="84">
        <f t="shared" si="18"/>
        <v>0</v>
      </c>
      <c r="BJ60" s="84">
        <f t="shared" si="19"/>
        <v>0</v>
      </c>
      <c r="BK60" s="84" t="s">
        <v>189</v>
      </c>
      <c r="BL60" s="86" t="s">
        <v>68</v>
      </c>
    </row>
    <row r="61" spans="1:64" ht="12.75">
      <c r="A61" s="81" t="s">
        <v>36</v>
      </c>
      <c r="B61" s="82" t="s">
        <v>69</v>
      </c>
      <c r="C61" s="204" t="s">
        <v>122</v>
      </c>
      <c r="D61" s="205"/>
      <c r="E61" s="205"/>
      <c r="F61" s="205"/>
      <c r="G61" s="82" t="s">
        <v>138</v>
      </c>
      <c r="H61" s="83">
        <v>1</v>
      </c>
      <c r="I61" s="84">
        <f>Elektro!E140</f>
        <v>0</v>
      </c>
      <c r="J61" s="84">
        <f t="shared" si="20"/>
        <v>0</v>
      </c>
      <c r="K61" s="84">
        <f t="shared" si="21"/>
        <v>0</v>
      </c>
      <c r="L61" s="84">
        <f t="shared" si="0"/>
        <v>0</v>
      </c>
      <c r="M61" s="85"/>
      <c r="N61" s="59"/>
      <c r="Z61" s="86">
        <f t="shared" si="1"/>
        <v>0</v>
      </c>
      <c r="AB61" s="86">
        <f t="shared" si="2"/>
        <v>0</v>
      </c>
      <c r="AC61" s="86">
        <f t="shared" si="3"/>
        <v>0</v>
      </c>
      <c r="AD61" s="86">
        <f t="shared" si="4"/>
        <v>0</v>
      </c>
      <c r="AE61" s="86">
        <f t="shared" si="5"/>
        <v>0</v>
      </c>
      <c r="AF61" s="86">
        <f t="shared" si="6"/>
        <v>0</v>
      </c>
      <c r="AG61" s="86">
        <f t="shared" si="7"/>
        <v>0</v>
      </c>
      <c r="AH61" s="86">
        <f t="shared" si="8"/>
        <v>0</v>
      </c>
      <c r="AI61" s="66"/>
      <c r="AJ61" s="84">
        <f t="shared" si="9"/>
        <v>0</v>
      </c>
      <c r="AK61" s="84">
        <f t="shared" si="10"/>
        <v>0</v>
      </c>
      <c r="AL61" s="84">
        <f t="shared" si="11"/>
        <v>0</v>
      </c>
      <c r="AN61" s="86">
        <v>15</v>
      </c>
      <c r="AO61" s="86">
        <f t="shared" si="22"/>
        <v>0</v>
      </c>
      <c r="AP61" s="86">
        <f t="shared" si="23"/>
        <v>0</v>
      </c>
      <c r="AQ61" s="87" t="s">
        <v>8</v>
      </c>
      <c r="AV61" s="86">
        <f t="shared" si="12"/>
        <v>0</v>
      </c>
      <c r="AW61" s="86">
        <f t="shared" si="13"/>
        <v>0</v>
      </c>
      <c r="AX61" s="86">
        <f t="shared" si="14"/>
        <v>0</v>
      </c>
      <c r="AY61" s="88" t="s">
        <v>177</v>
      </c>
      <c r="AZ61" s="88" t="s">
        <v>183</v>
      </c>
      <c r="BA61" s="66" t="s">
        <v>184</v>
      </c>
      <c r="BC61" s="86">
        <f t="shared" si="15"/>
        <v>0</v>
      </c>
      <c r="BD61" s="86">
        <f t="shared" si="16"/>
        <v>0</v>
      </c>
      <c r="BE61" s="86">
        <v>0</v>
      </c>
      <c r="BF61" s="86">
        <f>61</f>
        <v>61</v>
      </c>
      <c r="BH61" s="84">
        <f t="shared" si="17"/>
        <v>0</v>
      </c>
      <c r="BI61" s="84">
        <f t="shared" si="18"/>
        <v>0</v>
      </c>
      <c r="BJ61" s="84">
        <f t="shared" si="19"/>
        <v>0</v>
      </c>
      <c r="BK61" s="84" t="s">
        <v>189</v>
      </c>
      <c r="BL61" s="86" t="s">
        <v>68</v>
      </c>
    </row>
    <row r="62" spans="1:64" ht="12.75">
      <c r="A62" s="81" t="s">
        <v>37</v>
      </c>
      <c r="B62" s="82" t="s">
        <v>69</v>
      </c>
      <c r="C62" s="204" t="s">
        <v>123</v>
      </c>
      <c r="D62" s="205"/>
      <c r="E62" s="205"/>
      <c r="F62" s="205"/>
      <c r="G62" s="82" t="s">
        <v>138</v>
      </c>
      <c r="H62" s="83">
        <v>1</v>
      </c>
      <c r="I62" s="84">
        <f>Elektro!E149</f>
        <v>0</v>
      </c>
      <c r="J62" s="84">
        <f t="shared" si="20"/>
        <v>0</v>
      </c>
      <c r="K62" s="84">
        <f t="shared" si="21"/>
        <v>0</v>
      </c>
      <c r="L62" s="84">
        <f t="shared" si="0"/>
        <v>0</v>
      </c>
      <c r="M62" s="85"/>
      <c r="N62" s="59"/>
      <c r="Z62" s="86">
        <f t="shared" si="1"/>
        <v>0</v>
      </c>
      <c r="AB62" s="86">
        <f t="shared" si="2"/>
        <v>0</v>
      </c>
      <c r="AC62" s="86">
        <f t="shared" si="3"/>
        <v>0</v>
      </c>
      <c r="AD62" s="86">
        <f t="shared" si="4"/>
        <v>0</v>
      </c>
      <c r="AE62" s="86">
        <f t="shared" si="5"/>
        <v>0</v>
      </c>
      <c r="AF62" s="86">
        <f t="shared" si="6"/>
        <v>0</v>
      </c>
      <c r="AG62" s="86">
        <f t="shared" si="7"/>
        <v>0</v>
      </c>
      <c r="AH62" s="86">
        <f t="shared" si="8"/>
        <v>0</v>
      </c>
      <c r="AI62" s="66"/>
      <c r="AJ62" s="84">
        <f t="shared" si="9"/>
        <v>0</v>
      </c>
      <c r="AK62" s="84">
        <f t="shared" si="10"/>
        <v>0</v>
      </c>
      <c r="AL62" s="84">
        <f t="shared" si="11"/>
        <v>0</v>
      </c>
      <c r="AN62" s="86">
        <v>15</v>
      </c>
      <c r="AO62" s="86">
        <f>I62*0</f>
        <v>0</v>
      </c>
      <c r="AP62" s="86">
        <f>I62*(1-0)</f>
        <v>0</v>
      </c>
      <c r="AQ62" s="87" t="s">
        <v>8</v>
      </c>
      <c r="AV62" s="86">
        <f t="shared" si="12"/>
        <v>0</v>
      </c>
      <c r="AW62" s="86">
        <f t="shared" si="13"/>
        <v>0</v>
      </c>
      <c r="AX62" s="86">
        <f t="shared" si="14"/>
        <v>0</v>
      </c>
      <c r="AY62" s="88" t="s">
        <v>177</v>
      </c>
      <c r="AZ62" s="88" t="s">
        <v>183</v>
      </c>
      <c r="BA62" s="66" t="s">
        <v>184</v>
      </c>
      <c r="BC62" s="86">
        <f t="shared" si="15"/>
        <v>0</v>
      </c>
      <c r="BD62" s="86">
        <f t="shared" si="16"/>
        <v>0</v>
      </c>
      <c r="BE62" s="86">
        <v>0</v>
      </c>
      <c r="BF62" s="86">
        <f>62</f>
        <v>62</v>
      </c>
      <c r="BH62" s="84">
        <f t="shared" si="17"/>
        <v>0</v>
      </c>
      <c r="BI62" s="84">
        <f t="shared" si="18"/>
        <v>0</v>
      </c>
      <c r="BJ62" s="84">
        <f t="shared" si="19"/>
        <v>0</v>
      </c>
      <c r="BK62" s="84" t="s">
        <v>189</v>
      </c>
      <c r="BL62" s="86" t="s">
        <v>68</v>
      </c>
    </row>
    <row r="63" spans="1:64" ht="12.75">
      <c r="A63" s="81" t="s">
        <v>38</v>
      </c>
      <c r="B63" s="82" t="s">
        <v>69</v>
      </c>
      <c r="C63" s="204" t="s">
        <v>124</v>
      </c>
      <c r="D63" s="205"/>
      <c r="E63" s="205"/>
      <c r="F63" s="205"/>
      <c r="G63" s="82" t="s">
        <v>138</v>
      </c>
      <c r="H63" s="83">
        <v>1</v>
      </c>
      <c r="I63" s="84">
        <f>Elektro!D152</f>
        <v>0</v>
      </c>
      <c r="J63" s="84">
        <f t="shared" si="20"/>
        <v>0</v>
      </c>
      <c r="K63" s="84">
        <f t="shared" si="21"/>
        <v>0</v>
      </c>
      <c r="L63" s="84">
        <f t="shared" si="0"/>
        <v>0</v>
      </c>
      <c r="M63" s="85"/>
      <c r="N63" s="59"/>
      <c r="Z63" s="86">
        <f t="shared" si="1"/>
        <v>0</v>
      </c>
      <c r="AB63" s="86">
        <f t="shared" si="2"/>
        <v>0</v>
      </c>
      <c r="AC63" s="86">
        <f t="shared" si="3"/>
        <v>0</v>
      </c>
      <c r="AD63" s="86">
        <f t="shared" si="4"/>
        <v>0</v>
      </c>
      <c r="AE63" s="86">
        <f t="shared" si="5"/>
        <v>0</v>
      </c>
      <c r="AF63" s="86">
        <f t="shared" si="6"/>
        <v>0</v>
      </c>
      <c r="AG63" s="86">
        <f t="shared" si="7"/>
        <v>0</v>
      </c>
      <c r="AH63" s="86">
        <f t="shared" si="8"/>
        <v>0</v>
      </c>
      <c r="AI63" s="66"/>
      <c r="AJ63" s="84">
        <f t="shared" si="9"/>
        <v>0</v>
      </c>
      <c r="AK63" s="84">
        <f t="shared" si="10"/>
        <v>0</v>
      </c>
      <c r="AL63" s="84">
        <f t="shared" si="11"/>
        <v>0</v>
      </c>
      <c r="AN63" s="86">
        <v>15</v>
      </c>
      <c r="AO63" s="86">
        <f>I63*0</f>
        <v>0</v>
      </c>
      <c r="AP63" s="86">
        <f>I63*(1-0)</f>
        <v>0</v>
      </c>
      <c r="AQ63" s="87" t="s">
        <v>8</v>
      </c>
      <c r="AV63" s="86">
        <f t="shared" si="12"/>
        <v>0</v>
      </c>
      <c r="AW63" s="86">
        <f t="shared" si="13"/>
        <v>0</v>
      </c>
      <c r="AX63" s="86">
        <f t="shared" si="14"/>
        <v>0</v>
      </c>
      <c r="AY63" s="88" t="s">
        <v>177</v>
      </c>
      <c r="AZ63" s="88" t="s">
        <v>183</v>
      </c>
      <c r="BA63" s="66" t="s">
        <v>184</v>
      </c>
      <c r="BC63" s="86">
        <f t="shared" si="15"/>
        <v>0</v>
      </c>
      <c r="BD63" s="86">
        <f t="shared" si="16"/>
        <v>0</v>
      </c>
      <c r="BE63" s="86">
        <v>0</v>
      </c>
      <c r="BF63" s="86">
        <f>63</f>
        <v>63</v>
      </c>
      <c r="BH63" s="84">
        <f t="shared" si="17"/>
        <v>0</v>
      </c>
      <c r="BI63" s="84">
        <f t="shared" si="18"/>
        <v>0</v>
      </c>
      <c r="BJ63" s="84">
        <f t="shared" si="19"/>
        <v>0</v>
      </c>
      <c r="BK63" s="84" t="s">
        <v>189</v>
      </c>
      <c r="BL63" s="86" t="s">
        <v>68</v>
      </c>
    </row>
    <row r="64" spans="1:64" ht="12.75">
      <c r="A64" s="103" t="s">
        <v>39</v>
      </c>
      <c r="B64" s="104" t="s">
        <v>69</v>
      </c>
      <c r="C64" s="210" t="s">
        <v>125</v>
      </c>
      <c r="D64" s="211"/>
      <c r="E64" s="211"/>
      <c r="F64" s="211"/>
      <c r="G64" s="104" t="s">
        <v>138</v>
      </c>
      <c r="H64" s="105">
        <v>1</v>
      </c>
      <c r="I64" s="106">
        <f>Elektro!D153</f>
        <v>0</v>
      </c>
      <c r="J64" s="106">
        <f t="shared" si="20"/>
        <v>0</v>
      </c>
      <c r="K64" s="106">
        <f t="shared" si="21"/>
        <v>0</v>
      </c>
      <c r="L64" s="106">
        <f t="shared" si="0"/>
        <v>0</v>
      </c>
      <c r="M64" s="107"/>
      <c r="N64" s="59"/>
      <c r="Z64" s="86">
        <f t="shared" si="1"/>
        <v>0</v>
      </c>
      <c r="AB64" s="86">
        <f t="shared" si="2"/>
        <v>0</v>
      </c>
      <c r="AC64" s="86">
        <f t="shared" si="3"/>
        <v>0</v>
      </c>
      <c r="AD64" s="86">
        <f t="shared" si="4"/>
        <v>0</v>
      </c>
      <c r="AE64" s="86">
        <f t="shared" si="5"/>
        <v>0</v>
      </c>
      <c r="AF64" s="86">
        <f t="shared" si="6"/>
        <v>0</v>
      </c>
      <c r="AG64" s="86">
        <f t="shared" si="7"/>
        <v>0</v>
      </c>
      <c r="AH64" s="86">
        <f t="shared" si="8"/>
        <v>0</v>
      </c>
      <c r="AI64" s="66"/>
      <c r="AJ64" s="84">
        <f t="shared" si="9"/>
        <v>0</v>
      </c>
      <c r="AK64" s="84">
        <f t="shared" si="10"/>
        <v>0</v>
      </c>
      <c r="AL64" s="84">
        <f t="shared" si="11"/>
        <v>0</v>
      </c>
      <c r="AN64" s="86">
        <v>15</v>
      </c>
      <c r="AO64" s="86">
        <f>I64*0</f>
        <v>0</v>
      </c>
      <c r="AP64" s="86">
        <f>I64*(1-0)</f>
        <v>0</v>
      </c>
      <c r="AQ64" s="87" t="s">
        <v>8</v>
      </c>
      <c r="AV64" s="86">
        <f t="shared" si="12"/>
        <v>0</v>
      </c>
      <c r="AW64" s="86">
        <f t="shared" si="13"/>
        <v>0</v>
      </c>
      <c r="AX64" s="86">
        <f t="shared" si="14"/>
        <v>0</v>
      </c>
      <c r="AY64" s="88" t="s">
        <v>177</v>
      </c>
      <c r="AZ64" s="88" t="s">
        <v>183</v>
      </c>
      <c r="BA64" s="66" t="s">
        <v>184</v>
      </c>
      <c r="BC64" s="86">
        <f t="shared" si="15"/>
        <v>0</v>
      </c>
      <c r="BD64" s="86">
        <f t="shared" si="16"/>
        <v>0</v>
      </c>
      <c r="BE64" s="86">
        <v>0</v>
      </c>
      <c r="BF64" s="86">
        <f>64</f>
        <v>64</v>
      </c>
      <c r="BH64" s="84">
        <f t="shared" si="17"/>
        <v>0</v>
      </c>
      <c r="BI64" s="84">
        <f t="shared" si="18"/>
        <v>0</v>
      </c>
      <c r="BJ64" s="84">
        <f t="shared" si="19"/>
        <v>0</v>
      </c>
      <c r="BK64" s="84" t="s">
        <v>189</v>
      </c>
      <c r="BL64" s="86" t="s">
        <v>68</v>
      </c>
    </row>
    <row r="65" spans="1:13" ht="12.75">
      <c r="A65" s="108"/>
      <c r="B65" s="108"/>
      <c r="C65" s="108"/>
      <c r="D65" s="108"/>
      <c r="E65" s="108"/>
      <c r="F65" s="108"/>
      <c r="G65" s="108"/>
      <c r="H65" s="108"/>
      <c r="I65" s="108"/>
      <c r="J65" s="212" t="s">
        <v>152</v>
      </c>
      <c r="K65" s="149"/>
      <c r="L65" s="109">
        <f>L12+L16+L19+L24+L26+L30+L36+L41+L46+L49</f>
        <v>0</v>
      </c>
      <c r="M65" s="108"/>
    </row>
    <row r="66" ht="11.25" customHeight="1">
      <c r="A66" s="110" t="s">
        <v>40</v>
      </c>
    </row>
    <row r="67" spans="1:13" ht="12.75">
      <c r="A67" s="1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</sheetData>
  <sheetProtection algorithmName="SHA-512" hashValue="yaiUx+lCGcFUVsNZVc8L0/wW9dfpqocSWO51V44l5dHG2+VrHT2rroBCLwKQjD/m0PnkrRp5+thNEE2q+spiVA==" saltValue="Z/eMDqNF83SW64ydJy/hhw==" spinCount="100000" sheet="1"/>
  <mergeCells count="73">
    <mergeCell ref="C63:F63"/>
    <mergeCell ref="C64:F64"/>
    <mergeCell ref="J65:K65"/>
    <mergeCell ref="A67:M6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47:F47"/>
    <mergeCell ref="C49:F49"/>
    <mergeCell ref="C50:F50"/>
    <mergeCell ref="C51:F51"/>
    <mergeCell ref="C52:F52"/>
    <mergeCell ref="C41:F41"/>
    <mergeCell ref="C42:F42"/>
    <mergeCell ref="C44:F44"/>
    <mergeCell ref="C45:F45"/>
    <mergeCell ref="C46:F46"/>
    <mergeCell ref="C33:F33"/>
    <mergeCell ref="C35:F35"/>
    <mergeCell ref="C36:F36"/>
    <mergeCell ref="C37:F37"/>
    <mergeCell ref="C39:F39"/>
    <mergeCell ref="C27:F27"/>
    <mergeCell ref="C28:F28"/>
    <mergeCell ref="C29:F29"/>
    <mergeCell ref="C30:F30"/>
    <mergeCell ref="C31:F31"/>
    <mergeCell ref="C20:F20"/>
    <mergeCell ref="C22:F22"/>
    <mergeCell ref="C24:F24"/>
    <mergeCell ref="C25:F25"/>
    <mergeCell ref="C26:F26"/>
    <mergeCell ref="C13:F13"/>
    <mergeCell ref="C15:F15"/>
    <mergeCell ref="C16:F16"/>
    <mergeCell ref="C17:F17"/>
    <mergeCell ref="C19:F19"/>
    <mergeCell ref="J8:M9"/>
    <mergeCell ref="C10:F10"/>
    <mergeCell ref="J10:L10"/>
    <mergeCell ref="C11:F11"/>
    <mergeCell ref="C12:F12"/>
    <mergeCell ref="A8:B9"/>
    <mergeCell ref="C8:D9"/>
    <mergeCell ref="E8:F9"/>
    <mergeCell ref="G8:H9"/>
    <mergeCell ref="I8:I9"/>
    <mergeCell ref="J4:M5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workbookViewId="0" topLeftCell="A1">
      <selection activeCell="A59" sqref="A59"/>
    </sheetView>
  </sheetViews>
  <sheetFormatPr defaultColWidth="8.8515625" defaultRowHeight="12.75"/>
  <cols>
    <col min="1" max="1" width="49.421875" style="7" bestFit="1" customWidth="1"/>
    <col min="2" max="4" width="8.8515625" style="7" customWidth="1"/>
    <col min="5" max="5" width="11.140625" style="7" bestFit="1" customWidth="1"/>
    <col min="6" max="16384" width="8.8515625" style="7" customWidth="1"/>
  </cols>
  <sheetData>
    <row r="1" spans="1:5" ht="18">
      <c r="A1" s="5" t="s">
        <v>243</v>
      </c>
      <c r="B1" s="6"/>
      <c r="C1" s="6"/>
      <c r="D1" s="6"/>
      <c r="E1" s="6"/>
    </row>
    <row r="2" spans="1:5" ht="13.8" thickBot="1">
      <c r="A2" s="6"/>
      <c r="B2" s="6"/>
      <c r="C2" s="6"/>
      <c r="D2" s="6"/>
      <c r="E2" s="6"/>
    </row>
    <row r="3" spans="1:5" ht="16.2" thickBot="1">
      <c r="A3" s="8" t="s">
        <v>244</v>
      </c>
      <c r="B3" s="9"/>
      <c r="C3" s="9"/>
      <c r="D3" s="9"/>
      <c r="E3" s="10">
        <f>E8</f>
        <v>0</v>
      </c>
    </row>
    <row r="4" spans="1:5" ht="13.8" thickBot="1">
      <c r="A4" s="6"/>
      <c r="B4" s="6"/>
      <c r="C4" s="6"/>
      <c r="D4" s="6"/>
      <c r="E4" s="6"/>
    </row>
    <row r="5" spans="1:5" ht="19.2" thickBot="1" thickTop="1">
      <c r="A5" s="5" t="s">
        <v>245</v>
      </c>
      <c r="B5" s="6"/>
      <c r="C5" s="6"/>
      <c r="D5" s="6"/>
      <c r="E5" s="11">
        <f>SUM(E3:E3)</f>
        <v>0</v>
      </c>
    </row>
    <row r="6" spans="1:5" ht="18.6" thickTop="1">
      <c r="A6" s="12" t="s">
        <v>246</v>
      </c>
      <c r="B6" s="6"/>
      <c r="C6" s="6"/>
      <c r="D6" s="6"/>
      <c r="E6" s="13"/>
    </row>
    <row r="7" spans="1:5" ht="13.8" thickBot="1">
      <c r="A7" s="14"/>
      <c r="B7" s="14"/>
      <c r="C7" s="14"/>
      <c r="D7" s="14"/>
      <c r="E7" s="14"/>
    </row>
    <row r="8" spans="1:5" ht="19.2" thickBot="1" thickTop="1">
      <c r="A8" s="5" t="s">
        <v>244</v>
      </c>
      <c r="B8" s="9"/>
      <c r="C8" s="9"/>
      <c r="D8" s="9"/>
      <c r="E8" s="15">
        <f>E15+E19+E27+E33+E40+E47+E61+E70+E80+E90+E109+E140+E149+E154</f>
        <v>0</v>
      </c>
    </row>
    <row r="9" spans="1:5" ht="18">
      <c r="A9" s="5"/>
      <c r="B9" s="9"/>
      <c r="C9" s="9"/>
      <c r="D9" s="9"/>
      <c r="E9" s="16"/>
    </row>
    <row r="10" spans="1:5" ht="15.6">
      <c r="A10" s="8" t="s">
        <v>247</v>
      </c>
      <c r="B10" s="6"/>
      <c r="C10" s="6"/>
      <c r="D10" s="6"/>
      <c r="E10" s="6"/>
    </row>
    <row r="11" spans="1:5" ht="13.8" thickBot="1">
      <c r="A11" s="6"/>
      <c r="B11" s="6"/>
      <c r="C11" s="6"/>
      <c r="D11" s="6"/>
      <c r="E11" s="6"/>
    </row>
    <row r="12" spans="1:5" ht="14.4" thickBot="1">
      <c r="A12" s="17" t="s">
        <v>248</v>
      </c>
      <c r="B12" s="18" t="s">
        <v>249</v>
      </c>
      <c r="C12" s="18" t="s">
        <v>140</v>
      </c>
      <c r="D12" s="18" t="s">
        <v>250</v>
      </c>
      <c r="E12" s="19" t="s">
        <v>251</v>
      </c>
    </row>
    <row r="13" spans="1:5" ht="12.75">
      <c r="A13" s="20" t="s">
        <v>252</v>
      </c>
      <c r="B13" s="20" t="s">
        <v>253</v>
      </c>
      <c r="C13" s="21">
        <v>1</v>
      </c>
      <c r="D13" s="1"/>
      <c r="E13" s="22">
        <f aca="true" t="shared" si="0" ref="E13:E14">(C13*D13)</f>
        <v>0</v>
      </c>
    </row>
    <row r="14" spans="1:5" ht="13.8" thickBot="1">
      <c r="A14" s="20" t="s">
        <v>254</v>
      </c>
      <c r="B14" s="20" t="s">
        <v>253</v>
      </c>
      <c r="C14" s="21">
        <v>1</v>
      </c>
      <c r="D14" s="1"/>
      <c r="E14" s="22">
        <f t="shared" si="0"/>
        <v>0</v>
      </c>
    </row>
    <row r="15" spans="1:5" ht="13.8" thickBot="1">
      <c r="A15" s="12"/>
      <c r="B15" s="12"/>
      <c r="C15" s="12"/>
      <c r="D15" s="12"/>
      <c r="E15" s="15">
        <f>SUM(E13:E14)</f>
        <v>0</v>
      </c>
    </row>
    <row r="16" spans="1:5" ht="14.4" thickBot="1">
      <c r="A16" s="23">
        <v>11</v>
      </c>
      <c r="B16" s="9"/>
      <c r="C16" s="9"/>
      <c r="D16" s="9"/>
      <c r="E16" s="9"/>
    </row>
    <row r="17" spans="1:5" ht="14.4" thickBot="1">
      <c r="A17" s="17" t="s">
        <v>255</v>
      </c>
      <c r="B17" s="18" t="s">
        <v>249</v>
      </c>
      <c r="C17" s="18" t="s">
        <v>140</v>
      </c>
      <c r="D17" s="18" t="s">
        <v>250</v>
      </c>
      <c r="E17" s="19" t="s">
        <v>251</v>
      </c>
    </row>
    <row r="18" spans="1:5" ht="13.8" thickBot="1">
      <c r="A18" s="20" t="s">
        <v>256</v>
      </c>
      <c r="B18" s="20" t="s">
        <v>253</v>
      </c>
      <c r="C18" s="21">
        <v>2</v>
      </c>
      <c r="D18" s="1"/>
      <c r="E18" s="24">
        <f>(C18*D18)</f>
        <v>0</v>
      </c>
    </row>
    <row r="19" spans="1:5" ht="13.8" thickBot="1">
      <c r="A19" s="12"/>
      <c r="B19" s="12"/>
      <c r="C19" s="25"/>
      <c r="D19" s="26"/>
      <c r="E19" s="15">
        <f>SUM(E18:E18)</f>
        <v>0</v>
      </c>
    </row>
    <row r="20" spans="1:5" ht="14.4" thickBot="1">
      <c r="A20" s="9"/>
      <c r="B20" s="9"/>
      <c r="C20" s="9"/>
      <c r="D20" s="9"/>
      <c r="E20" s="26"/>
    </row>
    <row r="21" spans="1:5" ht="14.4" thickBot="1">
      <c r="A21" s="17" t="s">
        <v>257</v>
      </c>
      <c r="B21" s="18" t="s">
        <v>249</v>
      </c>
      <c r="C21" s="18" t="s">
        <v>140</v>
      </c>
      <c r="D21" s="18" t="s">
        <v>250</v>
      </c>
      <c r="E21" s="19" t="s">
        <v>251</v>
      </c>
    </row>
    <row r="22" spans="1:5" ht="12.75">
      <c r="A22" s="20" t="s">
        <v>258</v>
      </c>
      <c r="B22" s="20" t="s">
        <v>259</v>
      </c>
      <c r="C22" s="21">
        <v>15</v>
      </c>
      <c r="D22" s="1"/>
      <c r="E22" s="22">
        <f aca="true" t="shared" si="1" ref="E22:E26">(C22*D22)</f>
        <v>0</v>
      </c>
    </row>
    <row r="23" spans="1:5" ht="12.75">
      <c r="A23" s="20" t="s">
        <v>260</v>
      </c>
      <c r="B23" s="20" t="s">
        <v>259</v>
      </c>
      <c r="C23" s="21">
        <v>30</v>
      </c>
      <c r="D23" s="1"/>
      <c r="E23" s="22">
        <f t="shared" si="1"/>
        <v>0</v>
      </c>
    </row>
    <row r="24" spans="1:5" ht="12.75">
      <c r="A24" s="20" t="s">
        <v>261</v>
      </c>
      <c r="B24" s="20" t="s">
        <v>259</v>
      </c>
      <c r="C24" s="21">
        <v>15</v>
      </c>
      <c r="D24" s="1"/>
      <c r="E24" s="22">
        <f t="shared" si="1"/>
        <v>0</v>
      </c>
    </row>
    <row r="25" spans="1:5" ht="12.75">
      <c r="A25" s="20" t="s">
        <v>262</v>
      </c>
      <c r="B25" s="27" t="s">
        <v>259</v>
      </c>
      <c r="C25" s="28">
        <v>20</v>
      </c>
      <c r="D25" s="2"/>
      <c r="E25" s="29">
        <f t="shared" si="1"/>
        <v>0</v>
      </c>
    </row>
    <row r="26" spans="1:5" ht="12.75">
      <c r="A26" s="27" t="s">
        <v>263</v>
      </c>
      <c r="B26" s="27" t="s">
        <v>253</v>
      </c>
      <c r="C26" s="28">
        <v>10</v>
      </c>
      <c r="D26" s="2"/>
      <c r="E26" s="29">
        <f t="shared" si="1"/>
        <v>0</v>
      </c>
    </row>
    <row r="27" spans="1:5" ht="13.8" thickBot="1">
      <c r="A27" s="12"/>
      <c r="B27" s="12"/>
      <c r="C27" s="12"/>
      <c r="D27" s="12"/>
      <c r="E27" s="30">
        <f>SUM(E22:E26)</f>
        <v>0</v>
      </c>
    </row>
    <row r="28" spans="1:5" ht="13.8" thickBot="1">
      <c r="A28" s="12"/>
      <c r="B28" s="12"/>
      <c r="C28" s="12"/>
      <c r="D28" s="12"/>
      <c r="E28" s="16"/>
    </row>
    <row r="29" spans="1:5" ht="14.4" thickBot="1">
      <c r="A29" s="17" t="s">
        <v>264</v>
      </c>
      <c r="B29" s="18" t="s">
        <v>249</v>
      </c>
      <c r="C29" s="18" t="s">
        <v>140</v>
      </c>
      <c r="D29" s="18" t="s">
        <v>250</v>
      </c>
      <c r="E29" s="19" t="s">
        <v>251</v>
      </c>
    </row>
    <row r="30" spans="1:5" ht="12.75">
      <c r="A30" s="20" t="s">
        <v>265</v>
      </c>
      <c r="B30" s="20" t="s">
        <v>259</v>
      </c>
      <c r="C30" s="21">
        <v>60</v>
      </c>
      <c r="D30" s="1"/>
      <c r="E30" s="22">
        <f aca="true" t="shared" si="2" ref="E30:E32">(C30*D30)</f>
        <v>0</v>
      </c>
    </row>
    <row r="31" spans="1:5" ht="12.75">
      <c r="A31" s="27" t="s">
        <v>266</v>
      </c>
      <c r="B31" s="27" t="s">
        <v>259</v>
      </c>
      <c r="C31" s="28">
        <v>20</v>
      </c>
      <c r="D31" s="2"/>
      <c r="E31" s="29">
        <f t="shared" si="2"/>
        <v>0</v>
      </c>
    </row>
    <row r="32" spans="1:5" ht="13.8" thickBot="1">
      <c r="A32" s="27" t="s">
        <v>267</v>
      </c>
      <c r="B32" s="27" t="s">
        <v>253</v>
      </c>
      <c r="C32" s="28">
        <v>10</v>
      </c>
      <c r="D32" s="2"/>
      <c r="E32" s="31">
        <f t="shared" si="2"/>
        <v>0</v>
      </c>
    </row>
    <row r="33" spans="1:5" ht="14.4" thickBot="1">
      <c r="A33" s="9"/>
      <c r="B33" s="9"/>
      <c r="C33" s="9"/>
      <c r="D33" s="9"/>
      <c r="E33" s="15">
        <f>SUM(E30:E32)</f>
        <v>0</v>
      </c>
    </row>
    <row r="34" spans="1:5" ht="13.8" thickBot="1">
      <c r="A34" s="6"/>
      <c r="B34" s="6"/>
      <c r="C34" s="6"/>
      <c r="D34" s="6"/>
      <c r="E34" s="6"/>
    </row>
    <row r="35" spans="1:5" ht="14.4" thickBot="1">
      <c r="A35" s="17" t="s">
        <v>268</v>
      </c>
      <c r="B35" s="18" t="s">
        <v>249</v>
      </c>
      <c r="C35" s="18" t="s">
        <v>140</v>
      </c>
      <c r="D35" s="18" t="s">
        <v>250</v>
      </c>
      <c r="E35" s="19" t="s">
        <v>251</v>
      </c>
    </row>
    <row r="36" spans="1:5" ht="12.75">
      <c r="A36" s="27" t="s">
        <v>269</v>
      </c>
      <c r="B36" s="27" t="s">
        <v>253</v>
      </c>
      <c r="C36" s="28">
        <v>20</v>
      </c>
      <c r="D36" s="2"/>
      <c r="E36" s="29">
        <f aca="true" t="shared" si="3" ref="E36:E39">(C36*D36)</f>
        <v>0</v>
      </c>
    </row>
    <row r="37" spans="1:5" ht="12.75">
      <c r="A37" s="20" t="s">
        <v>262</v>
      </c>
      <c r="B37" s="27" t="s">
        <v>259</v>
      </c>
      <c r="C37" s="28">
        <v>20</v>
      </c>
      <c r="D37" s="2"/>
      <c r="E37" s="29">
        <f t="shared" si="3"/>
        <v>0</v>
      </c>
    </row>
    <row r="38" spans="1:5" ht="12.75">
      <c r="A38" s="27" t="s">
        <v>270</v>
      </c>
      <c r="B38" s="27" t="s">
        <v>253</v>
      </c>
      <c r="C38" s="28">
        <v>3</v>
      </c>
      <c r="D38" s="2"/>
      <c r="E38" s="29">
        <f t="shared" si="3"/>
        <v>0</v>
      </c>
    </row>
    <row r="39" spans="1:5" ht="13.8" thickBot="1">
      <c r="A39" s="27" t="s">
        <v>271</v>
      </c>
      <c r="B39" s="27" t="s">
        <v>253</v>
      </c>
      <c r="C39" s="28">
        <v>9</v>
      </c>
      <c r="D39" s="2"/>
      <c r="E39" s="29">
        <f t="shared" si="3"/>
        <v>0</v>
      </c>
    </row>
    <row r="40" spans="1:5" ht="13.8" thickBot="1">
      <c r="A40" s="12"/>
      <c r="B40" s="12"/>
      <c r="C40" s="12"/>
      <c r="D40" s="12"/>
      <c r="E40" s="15">
        <f>SUM(E36:E39)</f>
        <v>0</v>
      </c>
    </row>
    <row r="41" spans="1:5" ht="13.8" thickBot="1">
      <c r="A41" s="12"/>
      <c r="B41" s="12"/>
      <c r="C41" s="12"/>
      <c r="D41" s="12"/>
      <c r="E41" s="16"/>
    </row>
    <row r="42" spans="1:5" ht="14.4" thickBot="1">
      <c r="A42" s="17" t="s">
        <v>272</v>
      </c>
      <c r="B42" s="18" t="s">
        <v>249</v>
      </c>
      <c r="C42" s="18" t="s">
        <v>140</v>
      </c>
      <c r="D42" s="18" t="s">
        <v>250</v>
      </c>
      <c r="E42" s="19" t="s">
        <v>251</v>
      </c>
    </row>
    <row r="43" spans="1:5" ht="12.75">
      <c r="A43" s="27" t="s">
        <v>273</v>
      </c>
      <c r="B43" s="27" t="s">
        <v>259</v>
      </c>
      <c r="C43" s="28">
        <v>20</v>
      </c>
      <c r="D43" s="2"/>
      <c r="E43" s="31">
        <f aca="true" t="shared" si="4" ref="E43:E46">(C43*D43)</f>
        <v>0</v>
      </c>
    </row>
    <row r="44" spans="1:5" ht="12.75">
      <c r="A44" s="27" t="s">
        <v>274</v>
      </c>
      <c r="B44" s="27" t="s">
        <v>253</v>
      </c>
      <c r="C44" s="28">
        <v>9</v>
      </c>
      <c r="D44" s="2"/>
      <c r="E44" s="29">
        <f t="shared" si="4"/>
        <v>0</v>
      </c>
    </row>
    <row r="45" spans="1:5" ht="12.75">
      <c r="A45" s="27" t="s">
        <v>275</v>
      </c>
      <c r="B45" s="27" t="s">
        <v>253</v>
      </c>
      <c r="C45" s="28">
        <v>20</v>
      </c>
      <c r="D45" s="2"/>
      <c r="E45" s="29">
        <f t="shared" si="4"/>
        <v>0</v>
      </c>
    </row>
    <row r="46" spans="1:5" ht="13.8" thickBot="1">
      <c r="A46" s="27" t="s">
        <v>276</v>
      </c>
      <c r="B46" s="27" t="s">
        <v>253</v>
      </c>
      <c r="C46" s="28">
        <v>3</v>
      </c>
      <c r="D46" s="2"/>
      <c r="E46" s="29">
        <f t="shared" si="4"/>
        <v>0</v>
      </c>
    </row>
    <row r="47" spans="1:5" ht="14.4" thickBot="1">
      <c r="A47" s="9"/>
      <c r="B47" s="9"/>
      <c r="C47" s="9"/>
      <c r="D47" s="9"/>
      <c r="E47" s="15">
        <f>SUM(E43:E46)</f>
        <v>0</v>
      </c>
    </row>
    <row r="48" spans="1:5" ht="14.4" thickBot="1">
      <c r="A48" s="17" t="s">
        <v>277</v>
      </c>
      <c r="B48" s="18" t="s">
        <v>249</v>
      </c>
      <c r="C48" s="18" t="s">
        <v>140</v>
      </c>
      <c r="D48" s="18" t="s">
        <v>250</v>
      </c>
      <c r="E48" s="19" t="s">
        <v>251</v>
      </c>
    </row>
    <row r="49" spans="1:5" ht="105.6">
      <c r="A49" s="32" t="s">
        <v>278</v>
      </c>
      <c r="B49" s="33" t="s">
        <v>253</v>
      </c>
      <c r="C49" s="21">
        <v>1</v>
      </c>
      <c r="D49" s="1"/>
      <c r="E49" s="22">
        <f aca="true" t="shared" si="5" ref="E49:E60">(C49*D49)</f>
        <v>0</v>
      </c>
    </row>
    <row r="50" spans="1:5" ht="26.4">
      <c r="A50" s="34" t="s">
        <v>279</v>
      </c>
      <c r="B50" s="33" t="s">
        <v>253</v>
      </c>
      <c r="C50" s="21">
        <v>1</v>
      </c>
      <c r="D50" s="1"/>
      <c r="E50" s="22">
        <f t="shared" si="5"/>
        <v>0</v>
      </c>
    </row>
    <row r="51" spans="1:5" ht="26.4">
      <c r="A51" s="35" t="s">
        <v>280</v>
      </c>
      <c r="B51" s="33" t="s">
        <v>253</v>
      </c>
      <c r="C51" s="21">
        <v>1</v>
      </c>
      <c r="D51" s="1"/>
      <c r="E51" s="22">
        <f t="shared" si="5"/>
        <v>0</v>
      </c>
    </row>
    <row r="52" spans="1:5" ht="12.75">
      <c r="A52" s="35" t="s">
        <v>281</v>
      </c>
      <c r="B52" s="33" t="s">
        <v>253</v>
      </c>
      <c r="C52" s="21">
        <v>1</v>
      </c>
      <c r="D52" s="1"/>
      <c r="E52" s="22">
        <f t="shared" si="5"/>
        <v>0</v>
      </c>
    </row>
    <row r="53" spans="1:5" ht="12.75">
      <c r="A53" s="36" t="s">
        <v>282</v>
      </c>
      <c r="B53" s="33" t="s">
        <v>253</v>
      </c>
      <c r="C53" s="21">
        <v>1</v>
      </c>
      <c r="D53" s="1"/>
      <c r="E53" s="22">
        <f t="shared" si="5"/>
        <v>0</v>
      </c>
    </row>
    <row r="54" spans="1:5" ht="12.75">
      <c r="A54" s="36" t="s">
        <v>283</v>
      </c>
      <c r="B54" s="37" t="s">
        <v>253</v>
      </c>
      <c r="C54" s="21">
        <v>1</v>
      </c>
      <c r="D54" s="1"/>
      <c r="E54" s="22">
        <f t="shared" si="5"/>
        <v>0</v>
      </c>
    </row>
    <row r="55" spans="1:5" ht="26.4">
      <c r="A55" s="38" t="s">
        <v>284</v>
      </c>
      <c r="B55" s="33" t="s">
        <v>253</v>
      </c>
      <c r="C55" s="21">
        <v>1</v>
      </c>
      <c r="D55" s="1"/>
      <c r="E55" s="22">
        <f t="shared" si="5"/>
        <v>0</v>
      </c>
    </row>
    <row r="56" spans="1:5" ht="26.4">
      <c r="A56" s="38" t="s">
        <v>285</v>
      </c>
      <c r="B56" s="33" t="s">
        <v>253</v>
      </c>
      <c r="C56" s="21">
        <v>1</v>
      </c>
      <c r="D56" s="1"/>
      <c r="E56" s="22">
        <f t="shared" si="5"/>
        <v>0</v>
      </c>
    </row>
    <row r="57" spans="1:5" ht="12.75">
      <c r="A57" s="38" t="s">
        <v>286</v>
      </c>
      <c r="B57" s="33" t="s">
        <v>253</v>
      </c>
      <c r="C57" s="21">
        <v>1</v>
      </c>
      <c r="D57" s="1"/>
      <c r="E57" s="22">
        <f t="shared" si="5"/>
        <v>0</v>
      </c>
    </row>
    <row r="58" spans="1:5" ht="12.75">
      <c r="A58" s="39" t="s">
        <v>287</v>
      </c>
      <c r="B58" s="33" t="s">
        <v>253</v>
      </c>
      <c r="C58" s="21">
        <v>1</v>
      </c>
      <c r="D58" s="1"/>
      <c r="E58" s="22">
        <f t="shared" si="5"/>
        <v>0</v>
      </c>
    </row>
    <row r="59" spans="1:5" ht="39.6">
      <c r="A59" s="40" t="s">
        <v>367</v>
      </c>
      <c r="B59" s="37" t="s">
        <v>253</v>
      </c>
      <c r="C59" s="28">
        <v>1</v>
      </c>
      <c r="D59" s="1"/>
      <c r="E59" s="29">
        <f t="shared" si="5"/>
        <v>0</v>
      </c>
    </row>
    <row r="60" spans="1:5" ht="12.75">
      <c r="A60" s="36" t="s">
        <v>288</v>
      </c>
      <c r="B60" s="37" t="s">
        <v>253</v>
      </c>
      <c r="C60" s="28">
        <v>1</v>
      </c>
      <c r="D60" s="2"/>
      <c r="E60" s="29">
        <f t="shared" si="5"/>
        <v>0</v>
      </c>
    </row>
    <row r="61" spans="1:5" ht="13.8" thickBot="1">
      <c r="A61" s="12"/>
      <c r="B61" s="12"/>
      <c r="C61" s="12"/>
      <c r="D61" s="12"/>
      <c r="E61" s="30">
        <f>SUM(E49:E60)</f>
        <v>0</v>
      </c>
    </row>
    <row r="62" spans="1:5" ht="13.8" thickBot="1">
      <c r="A62" s="6"/>
      <c r="B62" s="6"/>
      <c r="C62" s="6"/>
      <c r="D62" s="6"/>
      <c r="E62" s="6"/>
    </row>
    <row r="63" spans="1:5" ht="14.4" thickBot="1">
      <c r="A63" s="17" t="s">
        <v>289</v>
      </c>
      <c r="B63" s="18" t="s">
        <v>249</v>
      </c>
      <c r="C63" s="18" t="s">
        <v>140</v>
      </c>
      <c r="D63" s="18" t="s">
        <v>250</v>
      </c>
      <c r="E63" s="19" t="s">
        <v>251</v>
      </c>
    </row>
    <row r="64" spans="1:5" ht="81.6">
      <c r="A64" s="41" t="s">
        <v>290</v>
      </c>
      <c r="B64" s="33" t="s">
        <v>253</v>
      </c>
      <c r="C64" s="21">
        <v>1</v>
      </c>
      <c r="D64" s="1"/>
      <c r="E64" s="22">
        <f aca="true" t="shared" si="6" ref="E64:E69">(C64*D64)</f>
        <v>0</v>
      </c>
    </row>
    <row r="65" spans="1:5" ht="20.4">
      <c r="A65" s="42" t="s">
        <v>291</v>
      </c>
      <c r="B65" s="33" t="s">
        <v>253</v>
      </c>
      <c r="C65" s="21">
        <v>1</v>
      </c>
      <c r="D65" s="1"/>
      <c r="E65" s="22">
        <f t="shared" si="6"/>
        <v>0</v>
      </c>
    </row>
    <row r="66" spans="1:5" ht="40.8">
      <c r="A66" s="43" t="s">
        <v>292</v>
      </c>
      <c r="B66" s="33" t="s">
        <v>253</v>
      </c>
      <c r="C66" s="21">
        <v>1</v>
      </c>
      <c r="D66" s="1"/>
      <c r="E66" s="22">
        <f t="shared" si="6"/>
        <v>0</v>
      </c>
    </row>
    <row r="67" spans="1:5" ht="20.4">
      <c r="A67" s="43" t="s">
        <v>293</v>
      </c>
      <c r="B67" s="33" t="s">
        <v>253</v>
      </c>
      <c r="C67" s="21">
        <v>1</v>
      </c>
      <c r="D67" s="1"/>
      <c r="E67" s="22">
        <f t="shared" si="6"/>
        <v>0</v>
      </c>
    </row>
    <row r="68" spans="1:5" ht="12.75">
      <c r="A68" s="44" t="s">
        <v>294</v>
      </c>
      <c r="B68" s="33" t="s">
        <v>253</v>
      </c>
      <c r="C68" s="21">
        <v>1</v>
      </c>
      <c r="D68" s="1"/>
      <c r="E68" s="22">
        <f t="shared" si="6"/>
        <v>0</v>
      </c>
    </row>
    <row r="69" spans="1:5" ht="12.75">
      <c r="A69" s="44" t="s">
        <v>295</v>
      </c>
      <c r="B69" s="37" t="s">
        <v>253</v>
      </c>
      <c r="C69" s="21">
        <v>1</v>
      </c>
      <c r="D69" s="1"/>
      <c r="E69" s="22">
        <f t="shared" si="6"/>
        <v>0</v>
      </c>
    </row>
    <row r="70" spans="1:5" ht="13.8" thickBot="1">
      <c r="A70" s="12"/>
      <c r="B70" s="12"/>
      <c r="C70" s="12"/>
      <c r="D70" s="12"/>
      <c r="E70" s="30">
        <f>SUM(E64:E69)</f>
        <v>0</v>
      </c>
    </row>
    <row r="71" spans="1:5" ht="13.8" thickBot="1">
      <c r="A71" s="6"/>
      <c r="B71" s="6"/>
      <c r="C71" s="6"/>
      <c r="D71" s="6"/>
      <c r="E71" s="6"/>
    </row>
    <row r="72" spans="1:5" ht="14.4" thickBot="1">
      <c r="A72" s="17" t="s">
        <v>296</v>
      </c>
      <c r="B72" s="18" t="s">
        <v>249</v>
      </c>
      <c r="C72" s="18" t="s">
        <v>140</v>
      </c>
      <c r="D72" s="18" t="s">
        <v>250</v>
      </c>
      <c r="E72" s="19" t="s">
        <v>251</v>
      </c>
    </row>
    <row r="73" spans="1:5" ht="30.6">
      <c r="A73" s="45" t="s">
        <v>297</v>
      </c>
      <c r="B73" s="33" t="s">
        <v>253</v>
      </c>
      <c r="C73" s="21">
        <v>1</v>
      </c>
      <c r="D73" s="1"/>
      <c r="E73" s="22">
        <f aca="true" t="shared" si="7" ref="E73:E79">(C73*D73)</f>
        <v>0</v>
      </c>
    </row>
    <row r="74" spans="1:5" ht="12.75">
      <c r="A74" s="46" t="s">
        <v>298</v>
      </c>
      <c r="B74" s="33" t="s">
        <v>253</v>
      </c>
      <c r="C74" s="21">
        <v>1</v>
      </c>
      <c r="D74" s="1"/>
      <c r="E74" s="22">
        <f t="shared" si="7"/>
        <v>0</v>
      </c>
    </row>
    <row r="75" spans="1:5" ht="20.4">
      <c r="A75" s="42" t="s">
        <v>299</v>
      </c>
      <c r="B75" s="33" t="s">
        <v>253</v>
      </c>
      <c r="C75" s="21">
        <v>1</v>
      </c>
      <c r="D75" s="1"/>
      <c r="E75" s="22">
        <f t="shared" si="7"/>
        <v>0</v>
      </c>
    </row>
    <row r="76" spans="1:5" ht="12.75">
      <c r="A76" s="44" t="s">
        <v>300</v>
      </c>
      <c r="B76" s="33" t="s">
        <v>253</v>
      </c>
      <c r="C76" s="21">
        <v>1</v>
      </c>
      <c r="D76" s="1"/>
      <c r="E76" s="22">
        <f t="shared" si="7"/>
        <v>0</v>
      </c>
    </row>
    <row r="77" spans="1:5" ht="12.75">
      <c r="A77" s="47" t="s">
        <v>301</v>
      </c>
      <c r="B77" s="33" t="s">
        <v>253</v>
      </c>
      <c r="C77" s="21">
        <v>1</v>
      </c>
      <c r="D77" s="1"/>
      <c r="E77" s="22">
        <f t="shared" si="7"/>
        <v>0</v>
      </c>
    </row>
    <row r="78" spans="1:5" ht="12.75">
      <c r="A78" s="44" t="s">
        <v>288</v>
      </c>
      <c r="B78" s="33" t="s">
        <v>253</v>
      </c>
      <c r="C78" s="21">
        <v>1</v>
      </c>
      <c r="D78" s="1"/>
      <c r="E78" s="22">
        <f t="shared" si="7"/>
        <v>0</v>
      </c>
    </row>
    <row r="79" spans="1:5" ht="20.4">
      <c r="A79" s="42" t="s">
        <v>302</v>
      </c>
      <c r="B79" s="37" t="s">
        <v>253</v>
      </c>
      <c r="C79" s="28">
        <v>1</v>
      </c>
      <c r="D79" s="1"/>
      <c r="E79" s="29">
        <f t="shared" si="7"/>
        <v>0</v>
      </c>
    </row>
    <row r="80" spans="1:5" ht="13.8" thickBot="1">
      <c r="A80" s="12"/>
      <c r="B80" s="12"/>
      <c r="C80" s="12"/>
      <c r="D80" s="12"/>
      <c r="E80" s="30">
        <f>SUM(E73:E79)</f>
        <v>0</v>
      </c>
    </row>
    <row r="81" spans="1:5" ht="13.8" thickBot="1">
      <c r="A81" s="6"/>
      <c r="B81" s="6"/>
      <c r="C81" s="6"/>
      <c r="D81" s="6"/>
      <c r="E81" s="6"/>
    </row>
    <row r="82" spans="1:5" ht="14.4" thickBot="1">
      <c r="A82" s="17" t="s">
        <v>303</v>
      </c>
      <c r="B82" s="18" t="s">
        <v>249</v>
      </c>
      <c r="C82" s="18" t="s">
        <v>140</v>
      </c>
      <c r="D82" s="18" t="s">
        <v>250</v>
      </c>
      <c r="E82" s="19" t="s">
        <v>251</v>
      </c>
    </row>
    <row r="83" spans="1:5" ht="12.75">
      <c r="A83" s="45" t="s">
        <v>304</v>
      </c>
      <c r="B83" s="33" t="s">
        <v>253</v>
      </c>
      <c r="C83" s="21">
        <v>1</v>
      </c>
      <c r="D83" s="1"/>
      <c r="E83" s="22">
        <f aca="true" t="shared" si="8" ref="E83:E89">(C83*D83)</f>
        <v>0</v>
      </c>
    </row>
    <row r="84" spans="1:5" ht="12.75">
      <c r="A84" s="44" t="s">
        <v>305</v>
      </c>
      <c r="B84" s="33" t="s">
        <v>253</v>
      </c>
      <c r="C84" s="21">
        <v>1</v>
      </c>
      <c r="D84" s="1"/>
      <c r="E84" s="22">
        <f t="shared" si="8"/>
        <v>0</v>
      </c>
    </row>
    <row r="85" spans="1:5" ht="20.4">
      <c r="A85" s="48" t="s">
        <v>306</v>
      </c>
      <c r="B85" s="33" t="s">
        <v>253</v>
      </c>
      <c r="C85" s="21">
        <v>1</v>
      </c>
      <c r="D85" s="1"/>
      <c r="E85" s="22">
        <f t="shared" si="8"/>
        <v>0</v>
      </c>
    </row>
    <row r="86" spans="1:5" ht="12.75">
      <c r="A86" s="48" t="s">
        <v>307</v>
      </c>
      <c r="B86" s="33" t="s">
        <v>253</v>
      </c>
      <c r="C86" s="21">
        <v>1</v>
      </c>
      <c r="D86" s="1"/>
      <c r="E86" s="22">
        <f t="shared" si="8"/>
        <v>0</v>
      </c>
    </row>
    <row r="87" spans="1:5" ht="12.75">
      <c r="A87" s="44" t="s">
        <v>308</v>
      </c>
      <c r="B87" s="33" t="s">
        <v>253</v>
      </c>
      <c r="C87" s="21">
        <v>1</v>
      </c>
      <c r="D87" s="1"/>
      <c r="E87" s="22">
        <f t="shared" si="8"/>
        <v>0</v>
      </c>
    </row>
    <row r="88" spans="1:5" ht="12.75">
      <c r="A88" s="47" t="s">
        <v>309</v>
      </c>
      <c r="B88" s="33" t="s">
        <v>253</v>
      </c>
      <c r="C88" s="21">
        <v>1</v>
      </c>
      <c r="D88" s="1"/>
      <c r="E88" s="22">
        <f t="shared" si="8"/>
        <v>0</v>
      </c>
    </row>
    <row r="89" spans="1:5" ht="12.75">
      <c r="A89" s="44" t="s">
        <v>310</v>
      </c>
      <c r="B89" s="37" t="s">
        <v>253</v>
      </c>
      <c r="C89" s="28">
        <v>1</v>
      </c>
      <c r="D89" s="1"/>
      <c r="E89" s="29">
        <f t="shared" si="8"/>
        <v>0</v>
      </c>
    </row>
    <row r="90" spans="1:5" ht="13.8" thickBot="1">
      <c r="A90" s="12"/>
      <c r="B90" s="12"/>
      <c r="C90" s="12"/>
      <c r="D90" s="12"/>
      <c r="E90" s="30">
        <f>SUM(E83:E89)</f>
        <v>0</v>
      </c>
    </row>
    <row r="91" spans="1:5" ht="13.8" thickBot="1">
      <c r="A91" s="6"/>
      <c r="B91" s="6"/>
      <c r="C91" s="6"/>
      <c r="D91" s="6"/>
      <c r="E91" s="6"/>
    </row>
    <row r="92" spans="1:5" ht="14.4" thickBot="1">
      <c r="A92" s="17" t="s">
        <v>311</v>
      </c>
      <c r="B92" s="18" t="s">
        <v>249</v>
      </c>
      <c r="C92" s="18" t="s">
        <v>140</v>
      </c>
      <c r="D92" s="18" t="s">
        <v>250</v>
      </c>
      <c r="E92" s="19" t="s">
        <v>251</v>
      </c>
    </row>
    <row r="93" spans="1:5" ht="20.4">
      <c r="A93" s="41" t="s">
        <v>312</v>
      </c>
      <c r="B93" s="33" t="s">
        <v>253</v>
      </c>
      <c r="C93" s="21">
        <v>1</v>
      </c>
      <c r="D93" s="1"/>
      <c r="E93" s="22">
        <f aca="true" t="shared" si="9" ref="E93:E108">(C93*D93)</f>
        <v>0</v>
      </c>
    </row>
    <row r="94" spans="1:5" ht="12.75">
      <c r="A94" s="46" t="s">
        <v>313</v>
      </c>
      <c r="B94" s="33" t="s">
        <v>253</v>
      </c>
      <c r="C94" s="21">
        <v>1</v>
      </c>
      <c r="D94" s="1"/>
      <c r="E94" s="22">
        <f t="shared" si="9"/>
        <v>0</v>
      </c>
    </row>
    <row r="95" spans="1:5" ht="12.75">
      <c r="A95" s="46" t="s">
        <v>314</v>
      </c>
      <c r="B95" s="33" t="s">
        <v>253</v>
      </c>
      <c r="C95" s="21">
        <v>1</v>
      </c>
      <c r="D95" s="1"/>
      <c r="E95" s="22">
        <f t="shared" si="9"/>
        <v>0</v>
      </c>
    </row>
    <row r="96" spans="1:5" ht="20.4">
      <c r="A96" s="46" t="s">
        <v>315</v>
      </c>
      <c r="B96" s="33" t="s">
        <v>253</v>
      </c>
      <c r="C96" s="21">
        <v>1</v>
      </c>
      <c r="D96" s="1"/>
      <c r="E96" s="22">
        <f t="shared" si="9"/>
        <v>0</v>
      </c>
    </row>
    <row r="97" spans="1:5" ht="20.4">
      <c r="A97" s="46" t="s">
        <v>316</v>
      </c>
      <c r="B97" s="33" t="s">
        <v>253</v>
      </c>
      <c r="C97" s="21">
        <v>1</v>
      </c>
      <c r="D97" s="1"/>
      <c r="E97" s="22">
        <f t="shared" si="9"/>
        <v>0</v>
      </c>
    </row>
    <row r="98" spans="1:5" ht="12.75">
      <c r="A98" s="46" t="s">
        <v>317</v>
      </c>
      <c r="B98" s="33" t="s">
        <v>253</v>
      </c>
      <c r="C98" s="21">
        <v>1</v>
      </c>
      <c r="D98" s="1"/>
      <c r="E98" s="22">
        <f t="shared" si="9"/>
        <v>0</v>
      </c>
    </row>
    <row r="99" spans="1:5" ht="12.75">
      <c r="A99" s="44" t="s">
        <v>318</v>
      </c>
      <c r="B99" s="33" t="s">
        <v>253</v>
      </c>
      <c r="C99" s="21">
        <v>1</v>
      </c>
      <c r="D99" s="1"/>
      <c r="E99" s="22">
        <f t="shared" si="9"/>
        <v>0</v>
      </c>
    </row>
    <row r="100" spans="1:5" ht="12.75">
      <c r="A100" s="44" t="s">
        <v>319</v>
      </c>
      <c r="B100" s="33" t="s">
        <v>253</v>
      </c>
      <c r="C100" s="21">
        <v>1</v>
      </c>
      <c r="D100" s="1"/>
      <c r="E100" s="22">
        <f t="shared" si="9"/>
        <v>0</v>
      </c>
    </row>
    <row r="101" spans="1:5" ht="12.75">
      <c r="A101" s="44" t="s">
        <v>320</v>
      </c>
      <c r="B101" s="33" t="s">
        <v>253</v>
      </c>
      <c r="C101" s="21">
        <v>1</v>
      </c>
      <c r="D101" s="1"/>
      <c r="E101" s="22">
        <f t="shared" si="9"/>
        <v>0</v>
      </c>
    </row>
    <row r="102" spans="1:5" ht="12.75">
      <c r="A102" s="44" t="s">
        <v>321</v>
      </c>
      <c r="B102" s="33" t="s">
        <v>253</v>
      </c>
      <c r="C102" s="21">
        <v>1</v>
      </c>
      <c r="D102" s="1"/>
      <c r="E102" s="22">
        <f t="shared" si="9"/>
        <v>0</v>
      </c>
    </row>
    <row r="103" spans="1:5" ht="21.6">
      <c r="A103" s="44" t="s">
        <v>322</v>
      </c>
      <c r="B103" s="33" t="s">
        <v>253</v>
      </c>
      <c r="C103" s="21">
        <v>1</v>
      </c>
      <c r="D103" s="1"/>
      <c r="E103" s="22">
        <f t="shared" si="9"/>
        <v>0</v>
      </c>
    </row>
    <row r="104" spans="1:5" ht="12.75">
      <c r="A104" s="44" t="s">
        <v>323</v>
      </c>
      <c r="B104" s="33" t="s">
        <v>253</v>
      </c>
      <c r="C104" s="21">
        <v>1</v>
      </c>
      <c r="D104" s="1"/>
      <c r="E104" s="22">
        <f t="shared" si="9"/>
        <v>0</v>
      </c>
    </row>
    <row r="105" spans="1:5" ht="20.4">
      <c r="A105" s="42" t="s">
        <v>324</v>
      </c>
      <c r="B105" s="33" t="s">
        <v>253</v>
      </c>
      <c r="C105" s="21">
        <v>1</v>
      </c>
      <c r="D105" s="1"/>
      <c r="E105" s="22">
        <f t="shared" si="9"/>
        <v>0</v>
      </c>
    </row>
    <row r="106" spans="1:5" ht="12.75">
      <c r="A106" s="44" t="s">
        <v>325</v>
      </c>
      <c r="B106" s="33" t="s">
        <v>253</v>
      </c>
      <c r="C106" s="21">
        <v>1</v>
      </c>
      <c r="D106" s="1"/>
      <c r="E106" s="22">
        <f t="shared" si="9"/>
        <v>0</v>
      </c>
    </row>
    <row r="107" spans="1:5" ht="12.75">
      <c r="A107" s="44" t="s">
        <v>326</v>
      </c>
      <c r="B107" s="33" t="s">
        <v>253</v>
      </c>
      <c r="C107" s="21">
        <v>1</v>
      </c>
      <c r="D107" s="1"/>
      <c r="E107" s="22">
        <f t="shared" si="9"/>
        <v>0</v>
      </c>
    </row>
    <row r="108" spans="1:5" ht="12.75">
      <c r="A108" s="47" t="s">
        <v>327</v>
      </c>
      <c r="B108" s="37" t="s">
        <v>253</v>
      </c>
      <c r="C108" s="28">
        <v>1</v>
      </c>
      <c r="D108" s="1"/>
      <c r="E108" s="29">
        <f t="shared" si="9"/>
        <v>0</v>
      </c>
    </row>
    <row r="109" spans="1:5" ht="13.8" thickBot="1">
      <c r="A109" s="12"/>
      <c r="B109" s="12"/>
      <c r="C109" s="12"/>
      <c r="D109" s="12"/>
      <c r="E109" s="30">
        <f>SUM(E93:E108)</f>
        <v>0</v>
      </c>
    </row>
    <row r="110" spans="1:5" ht="13.8" thickBot="1">
      <c r="A110" s="6"/>
      <c r="B110" s="6"/>
      <c r="C110" s="6"/>
      <c r="D110" s="6"/>
      <c r="E110" s="6"/>
    </row>
    <row r="111" spans="1:5" ht="14.4" thickBot="1">
      <c r="A111" s="17" t="s">
        <v>328</v>
      </c>
      <c r="B111" s="18" t="s">
        <v>249</v>
      </c>
      <c r="C111" s="18" t="s">
        <v>140</v>
      </c>
      <c r="D111" s="18" t="s">
        <v>250</v>
      </c>
      <c r="E111" s="19" t="s">
        <v>251</v>
      </c>
    </row>
    <row r="112" spans="1:5" ht="20.4">
      <c r="A112" s="49" t="s">
        <v>329</v>
      </c>
      <c r="B112" s="33" t="s">
        <v>253</v>
      </c>
      <c r="C112" s="50">
        <v>1</v>
      </c>
      <c r="D112" s="3"/>
      <c r="E112" s="22">
        <f aca="true" t="shared" si="10" ref="E112:E139">(C112*D112)</f>
        <v>0</v>
      </c>
    </row>
    <row r="113" spans="1:5" ht="21.6">
      <c r="A113" s="44" t="s">
        <v>330</v>
      </c>
      <c r="B113" s="37" t="s">
        <v>253</v>
      </c>
      <c r="C113" s="51">
        <v>1</v>
      </c>
      <c r="D113" s="3"/>
      <c r="E113" s="22">
        <f t="shared" si="10"/>
        <v>0</v>
      </c>
    </row>
    <row r="114" spans="1:5" ht="12.75">
      <c r="A114" s="52" t="s">
        <v>331</v>
      </c>
      <c r="B114" s="37" t="s">
        <v>253</v>
      </c>
      <c r="C114" s="53">
        <v>1</v>
      </c>
      <c r="D114" s="3"/>
      <c r="E114" s="22">
        <f t="shared" si="10"/>
        <v>0</v>
      </c>
    </row>
    <row r="115" spans="1:5" ht="12.75">
      <c r="A115" s="52" t="s">
        <v>332</v>
      </c>
      <c r="B115" s="37" t="s">
        <v>253</v>
      </c>
      <c r="C115" s="53">
        <v>1</v>
      </c>
      <c r="D115" s="3"/>
      <c r="E115" s="22">
        <f t="shared" si="10"/>
        <v>0</v>
      </c>
    </row>
    <row r="116" spans="1:5" ht="12.75">
      <c r="A116" s="52" t="s">
        <v>333</v>
      </c>
      <c r="B116" s="37" t="s">
        <v>253</v>
      </c>
      <c r="C116" s="53">
        <v>1</v>
      </c>
      <c r="D116" s="3"/>
      <c r="E116" s="22">
        <f t="shared" si="10"/>
        <v>0</v>
      </c>
    </row>
    <row r="117" spans="1:5" ht="12.75">
      <c r="A117" s="52" t="s">
        <v>334</v>
      </c>
      <c r="B117" s="37" t="s">
        <v>253</v>
      </c>
      <c r="C117" s="53">
        <v>1</v>
      </c>
      <c r="D117" s="3"/>
      <c r="E117" s="22">
        <f t="shared" si="10"/>
        <v>0</v>
      </c>
    </row>
    <row r="118" spans="1:5" ht="12.75">
      <c r="A118" s="52" t="s">
        <v>335</v>
      </c>
      <c r="B118" s="37" t="s">
        <v>253</v>
      </c>
      <c r="C118" s="53">
        <v>1</v>
      </c>
      <c r="D118" s="3"/>
      <c r="E118" s="22">
        <f t="shared" si="10"/>
        <v>0</v>
      </c>
    </row>
    <row r="119" spans="1:5" ht="12.75">
      <c r="A119" s="52" t="s">
        <v>336</v>
      </c>
      <c r="B119" s="37" t="s">
        <v>253</v>
      </c>
      <c r="C119" s="53">
        <v>1</v>
      </c>
      <c r="D119" s="3"/>
      <c r="E119" s="22">
        <f t="shared" si="10"/>
        <v>0</v>
      </c>
    </row>
    <row r="120" spans="1:5" ht="12.75">
      <c r="A120" s="52" t="s">
        <v>337</v>
      </c>
      <c r="B120" s="37" t="s">
        <v>253</v>
      </c>
      <c r="C120" s="53">
        <v>2</v>
      </c>
      <c r="D120" s="3"/>
      <c r="E120" s="22">
        <f t="shared" si="10"/>
        <v>0</v>
      </c>
    </row>
    <row r="121" spans="1:5" ht="12.75">
      <c r="A121" s="52" t="s">
        <v>338</v>
      </c>
      <c r="B121" s="37" t="s">
        <v>253</v>
      </c>
      <c r="C121" s="53">
        <v>1</v>
      </c>
      <c r="D121" s="3"/>
      <c r="E121" s="22">
        <f t="shared" si="10"/>
        <v>0</v>
      </c>
    </row>
    <row r="122" spans="1:5" ht="12.75">
      <c r="A122" s="52" t="s">
        <v>339</v>
      </c>
      <c r="B122" s="37" t="s">
        <v>253</v>
      </c>
      <c r="C122" s="53">
        <v>1</v>
      </c>
      <c r="D122" s="3"/>
      <c r="E122" s="22">
        <f t="shared" si="10"/>
        <v>0</v>
      </c>
    </row>
    <row r="123" spans="1:5" ht="12.75">
      <c r="A123" s="52" t="s">
        <v>340</v>
      </c>
      <c r="B123" s="37" t="s">
        <v>253</v>
      </c>
      <c r="C123" s="53">
        <v>1</v>
      </c>
      <c r="D123" s="3"/>
      <c r="E123" s="22">
        <f t="shared" si="10"/>
        <v>0</v>
      </c>
    </row>
    <row r="124" spans="1:5" ht="12.75">
      <c r="A124" s="52" t="s">
        <v>341</v>
      </c>
      <c r="B124" s="37" t="s">
        <v>253</v>
      </c>
      <c r="C124" s="53">
        <v>14</v>
      </c>
      <c r="D124" s="3"/>
      <c r="E124" s="22">
        <f t="shared" si="10"/>
        <v>0</v>
      </c>
    </row>
    <row r="125" spans="1:5" ht="12.75">
      <c r="A125" s="52" t="s">
        <v>342</v>
      </c>
      <c r="B125" s="37" t="s">
        <v>253</v>
      </c>
      <c r="C125" s="53">
        <v>1</v>
      </c>
      <c r="D125" s="3"/>
      <c r="E125" s="22">
        <f t="shared" si="10"/>
        <v>0</v>
      </c>
    </row>
    <row r="126" spans="1:5" ht="12.75">
      <c r="A126" s="52" t="s">
        <v>343</v>
      </c>
      <c r="B126" s="27" t="s">
        <v>253</v>
      </c>
      <c r="C126" s="54">
        <v>1</v>
      </c>
      <c r="D126" s="3"/>
      <c r="E126" s="29">
        <f t="shared" si="10"/>
        <v>0</v>
      </c>
    </row>
    <row r="127" spans="1:5" ht="12.75">
      <c r="A127" s="52" t="s">
        <v>344</v>
      </c>
      <c r="B127" s="27" t="s">
        <v>253</v>
      </c>
      <c r="C127" s="54">
        <v>1</v>
      </c>
      <c r="D127" s="3"/>
      <c r="E127" s="29">
        <f t="shared" si="10"/>
        <v>0</v>
      </c>
    </row>
    <row r="128" spans="1:5" ht="12.75">
      <c r="A128" s="52" t="s">
        <v>345</v>
      </c>
      <c r="B128" s="27" t="s">
        <v>253</v>
      </c>
      <c r="C128" s="54">
        <v>2</v>
      </c>
      <c r="D128" s="3"/>
      <c r="E128" s="29">
        <f t="shared" si="10"/>
        <v>0</v>
      </c>
    </row>
    <row r="129" spans="1:5" ht="12.75">
      <c r="A129" s="52" t="s">
        <v>346</v>
      </c>
      <c r="B129" s="27" t="s">
        <v>253</v>
      </c>
      <c r="C129" s="54">
        <v>6</v>
      </c>
      <c r="D129" s="3"/>
      <c r="E129" s="29">
        <f t="shared" si="10"/>
        <v>0</v>
      </c>
    </row>
    <row r="130" spans="1:5" ht="12.75">
      <c r="A130" s="52" t="s">
        <v>347</v>
      </c>
      <c r="B130" s="27" t="s">
        <v>253</v>
      </c>
      <c r="C130" s="54">
        <v>2</v>
      </c>
      <c r="D130" s="3"/>
      <c r="E130" s="29">
        <f t="shared" si="10"/>
        <v>0</v>
      </c>
    </row>
    <row r="131" spans="1:5" ht="12.75">
      <c r="A131" s="52" t="s">
        <v>348</v>
      </c>
      <c r="B131" s="27" t="s">
        <v>253</v>
      </c>
      <c r="C131" s="54">
        <v>1</v>
      </c>
      <c r="D131" s="4"/>
      <c r="E131" s="29">
        <f t="shared" si="10"/>
        <v>0</v>
      </c>
    </row>
    <row r="132" spans="1:5" ht="12.75">
      <c r="A132" s="52" t="s">
        <v>349</v>
      </c>
      <c r="B132" s="27" t="s">
        <v>253</v>
      </c>
      <c r="C132" s="54">
        <v>2</v>
      </c>
      <c r="D132" s="4"/>
      <c r="E132" s="29">
        <f t="shared" si="10"/>
        <v>0</v>
      </c>
    </row>
    <row r="133" spans="1:5" ht="12.75">
      <c r="A133" s="52" t="s">
        <v>350</v>
      </c>
      <c r="B133" s="27" t="s">
        <v>253</v>
      </c>
      <c r="C133" s="54">
        <v>1</v>
      </c>
      <c r="D133" s="4"/>
      <c r="E133" s="29">
        <f t="shared" si="10"/>
        <v>0</v>
      </c>
    </row>
    <row r="134" spans="1:5" ht="12.75">
      <c r="A134" s="52" t="s">
        <v>351</v>
      </c>
      <c r="B134" s="27" t="s">
        <v>253</v>
      </c>
      <c r="C134" s="54">
        <v>1</v>
      </c>
      <c r="D134" s="4"/>
      <c r="E134" s="29">
        <f t="shared" si="10"/>
        <v>0</v>
      </c>
    </row>
    <row r="135" spans="1:5" ht="12.75">
      <c r="A135" s="52" t="s">
        <v>352</v>
      </c>
      <c r="B135" s="27" t="s">
        <v>253</v>
      </c>
      <c r="C135" s="54">
        <v>1</v>
      </c>
      <c r="D135" s="4"/>
      <c r="E135" s="29">
        <f t="shared" si="10"/>
        <v>0</v>
      </c>
    </row>
    <row r="136" spans="1:5" ht="12.75">
      <c r="A136" s="44" t="s">
        <v>353</v>
      </c>
      <c r="B136" s="27" t="s">
        <v>253</v>
      </c>
      <c r="C136" s="55">
        <v>1</v>
      </c>
      <c r="D136" s="4"/>
      <c r="E136" s="29">
        <f t="shared" si="10"/>
        <v>0</v>
      </c>
    </row>
    <row r="137" spans="1:5" ht="12.75">
      <c r="A137" s="44" t="s">
        <v>354</v>
      </c>
      <c r="B137" s="27" t="s">
        <v>253</v>
      </c>
      <c r="C137" s="55">
        <v>1</v>
      </c>
      <c r="D137" s="4"/>
      <c r="E137" s="29">
        <f t="shared" si="10"/>
        <v>0</v>
      </c>
    </row>
    <row r="138" spans="1:5" ht="21.6">
      <c r="A138" s="44" t="s">
        <v>355</v>
      </c>
      <c r="B138" s="27" t="s">
        <v>253</v>
      </c>
      <c r="C138" s="55">
        <v>2</v>
      </c>
      <c r="D138" s="4"/>
      <c r="E138" s="29">
        <f t="shared" si="10"/>
        <v>0</v>
      </c>
    </row>
    <row r="139" spans="1:5" ht="13.8" thickBot="1">
      <c r="A139" s="44" t="s">
        <v>356</v>
      </c>
      <c r="B139" s="27" t="s">
        <v>253</v>
      </c>
      <c r="C139" s="55">
        <v>1</v>
      </c>
      <c r="D139" s="4"/>
      <c r="E139" s="31">
        <f t="shared" si="10"/>
        <v>0</v>
      </c>
    </row>
    <row r="140" spans="1:5" ht="13.8" thickBot="1">
      <c r="A140" s="12"/>
      <c r="B140" s="12"/>
      <c r="C140" s="12"/>
      <c r="D140" s="12"/>
      <c r="E140" s="15">
        <f>SUM(E112:E139)</f>
        <v>0</v>
      </c>
    </row>
    <row r="141" spans="1:5" ht="13.8" thickBot="1">
      <c r="A141" s="6"/>
      <c r="B141" s="6"/>
      <c r="C141" s="6"/>
      <c r="D141" s="6"/>
      <c r="E141" s="6"/>
    </row>
    <row r="142" spans="1:5" ht="14.4" thickBot="1">
      <c r="A142" s="17" t="s">
        <v>357</v>
      </c>
      <c r="B142" s="18" t="s">
        <v>249</v>
      </c>
      <c r="C142" s="18" t="s">
        <v>140</v>
      </c>
      <c r="D142" s="18" t="s">
        <v>250</v>
      </c>
      <c r="E142" s="19" t="s">
        <v>251</v>
      </c>
    </row>
    <row r="143" spans="1:5" ht="20.4">
      <c r="A143" s="56" t="s">
        <v>358</v>
      </c>
      <c r="B143" s="33" t="s">
        <v>253</v>
      </c>
      <c r="C143" s="50">
        <v>1</v>
      </c>
      <c r="D143" s="3"/>
      <c r="E143" s="22">
        <f aca="true" t="shared" si="11" ref="E143:E148">(C143*D143)</f>
        <v>0</v>
      </c>
    </row>
    <row r="144" spans="1:5" ht="20.4">
      <c r="A144" s="57" t="s">
        <v>359</v>
      </c>
      <c r="B144" s="37" t="s">
        <v>253</v>
      </c>
      <c r="C144" s="51">
        <v>1</v>
      </c>
      <c r="D144" s="3"/>
      <c r="E144" s="22">
        <f t="shared" si="11"/>
        <v>0</v>
      </c>
    </row>
    <row r="145" spans="1:5" ht="12.75">
      <c r="A145" s="57" t="s">
        <v>360</v>
      </c>
      <c r="B145" s="37" t="s">
        <v>253</v>
      </c>
      <c r="C145" s="53">
        <v>1</v>
      </c>
      <c r="D145" s="3"/>
      <c r="E145" s="22">
        <f t="shared" si="11"/>
        <v>0</v>
      </c>
    </row>
    <row r="146" spans="1:5" ht="20.4">
      <c r="A146" s="57" t="s">
        <v>361</v>
      </c>
      <c r="B146" s="37" t="s">
        <v>253</v>
      </c>
      <c r="C146" s="53">
        <v>1</v>
      </c>
      <c r="D146" s="3"/>
      <c r="E146" s="22">
        <f t="shared" si="11"/>
        <v>0</v>
      </c>
    </row>
    <row r="147" spans="1:5" ht="20.4">
      <c r="A147" s="57" t="s">
        <v>362</v>
      </c>
      <c r="B147" s="37" t="s">
        <v>253</v>
      </c>
      <c r="C147" s="53">
        <v>1</v>
      </c>
      <c r="D147" s="3"/>
      <c r="E147" s="22">
        <f t="shared" si="11"/>
        <v>0</v>
      </c>
    </row>
    <row r="148" spans="1:5" ht="13.8" thickBot="1">
      <c r="A148" s="57" t="s">
        <v>363</v>
      </c>
      <c r="B148" s="37" t="s">
        <v>253</v>
      </c>
      <c r="C148" s="53">
        <v>1</v>
      </c>
      <c r="D148" s="3"/>
      <c r="E148" s="22">
        <f t="shared" si="11"/>
        <v>0</v>
      </c>
    </row>
    <row r="149" spans="1:5" ht="13.8" thickBot="1">
      <c r="A149" s="12"/>
      <c r="B149" s="12"/>
      <c r="C149" s="12"/>
      <c r="D149" s="12"/>
      <c r="E149" s="15">
        <f>SUM(E143:E148)</f>
        <v>0</v>
      </c>
    </row>
    <row r="150" spans="1:5" ht="13.8" thickBot="1">
      <c r="A150" s="6"/>
      <c r="B150" s="6"/>
      <c r="C150" s="6"/>
      <c r="D150" s="6"/>
      <c r="E150" s="6"/>
    </row>
    <row r="151" spans="1:5" ht="14.4" thickBot="1">
      <c r="A151" s="17" t="s">
        <v>364</v>
      </c>
      <c r="B151" s="18" t="s">
        <v>249</v>
      </c>
      <c r="C151" s="18" t="s">
        <v>140</v>
      </c>
      <c r="D151" s="18" t="s">
        <v>250</v>
      </c>
      <c r="E151" s="19" t="s">
        <v>251</v>
      </c>
    </row>
    <row r="152" spans="1:5" ht="12.75">
      <c r="A152" s="20" t="s">
        <v>365</v>
      </c>
      <c r="B152" s="20" t="s">
        <v>253</v>
      </c>
      <c r="C152" s="21">
        <v>1</v>
      </c>
      <c r="D152" s="1"/>
      <c r="E152" s="22">
        <f aca="true" t="shared" si="12" ref="E152:E153">(C152*D152)</f>
        <v>0</v>
      </c>
    </row>
    <row r="153" spans="1:5" ht="13.8" thickBot="1">
      <c r="A153" s="20" t="s">
        <v>366</v>
      </c>
      <c r="B153" s="20" t="s">
        <v>253</v>
      </c>
      <c r="C153" s="21">
        <v>1</v>
      </c>
      <c r="D153" s="1"/>
      <c r="E153" s="22">
        <f t="shared" si="12"/>
        <v>0</v>
      </c>
    </row>
    <row r="154" spans="1:5" ht="13.8" thickBot="1">
      <c r="A154" s="12"/>
      <c r="B154" s="12"/>
      <c r="C154" s="12"/>
      <c r="D154" s="12"/>
      <c r="E154" s="15">
        <f>SUM(E152:E153)</f>
        <v>0</v>
      </c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</sheetData>
  <sheetProtection algorithmName="SHA-512" hashValue="kDo8IxV2p4jsI/mgIxU3+tRPPhbxFxvQv7a7T7kaKK0mEyLo5ASQM2JTOVKLJpBOhn5raXWcsuO5X6gNfiBc9w==" saltValue="hWfWzwi1tvuQdAezxUC2AQ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Černá Andrea</cp:lastModifiedBy>
  <dcterms:created xsi:type="dcterms:W3CDTF">2022-05-25T08:42:22Z</dcterms:created>
  <dcterms:modified xsi:type="dcterms:W3CDTF">2022-09-04T15:07:54Z</dcterms:modified>
  <cp:category/>
  <cp:version/>
  <cp:contentType/>
  <cp:contentStatus/>
</cp:coreProperties>
</file>