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1" activeTab="5"/>
  </bookViews>
  <sheets>
    <sheet name="Stavební rozpočet" sheetId="1" r:id="rId1"/>
    <sheet name="Stavební rozpočet - součet" sheetId="2" r:id="rId2"/>
    <sheet name="Výkaz výměr" sheetId="3" r:id="rId3"/>
    <sheet name="Krycí list rozpočtu" sheetId="4" r:id="rId4"/>
    <sheet name="VORN" sheetId="5" r:id="rId5"/>
    <sheet name="Pokyny pro vyplnění" sheetId="6" r:id="rId6"/>
  </sheets>
  <definedNames>
    <definedName name="vorn_sum">'VORN'!$I$38:$I$38</definedName>
  </definedNames>
  <calcPr fullCalcOnLoad="1"/>
</workbook>
</file>

<file path=xl/sharedStrings.xml><?xml version="1.0" encoding="utf-8"?>
<sst xmlns="http://schemas.openxmlformats.org/spreadsheetml/2006/main" count="983" uniqueCount="352">
  <si>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</si>
  <si>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</si>
  <si>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</si>
  <si>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</si>
  <si>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</si>
  <si>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</si>
  <si>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</si>
  <si>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</si>
  <si>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</si>
  <si>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</si>
  <si>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</si>
  <si>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</si>
  <si>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</si>
  <si>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</si>
  <si>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</si>
  <si>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</si>
  <si>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</si>
  <si>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</si>
  <si>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</si>
  <si>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</si>
  <si>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</si>
  <si>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</si>
  <si>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</si>
  <si>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</si>
  <si>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</si>
  <si>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</si>
  <si>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</si>
  <si>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</si>
  <si>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</si>
  <si>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</si>
  <si>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</si>
  <si>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</si>
  <si>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</si>
  <si>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</si>
  <si>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</si>
  <si>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</si>
  <si>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</si>
  <si>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</si>
  <si>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</si>
  <si>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</si>
  <si>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</si>
  <si>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</si>
  <si>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</si>
  <si>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</si>
  <si>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</si>
  <si>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</si>
  <si>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</si>
  <si>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</si>
  <si>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</si>
  <si>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</si>
  <si>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</si>
  <si>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</si>
  <si>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</si>
  <si>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</si>
  <si>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</si>
  <si>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Poznámka:</t>
  </si>
  <si>
    <t>Kód</t>
  </si>
  <si>
    <t>61</t>
  </si>
  <si>
    <t>614471711R00</t>
  </si>
  <si>
    <t>612409991RT2</t>
  </si>
  <si>
    <t>610991111R00</t>
  </si>
  <si>
    <t>622481292R00</t>
  </si>
  <si>
    <t>28350116</t>
  </si>
  <si>
    <t>622321563R00</t>
  </si>
  <si>
    <t>62</t>
  </si>
  <si>
    <t>622472112R00</t>
  </si>
  <si>
    <t>622412214RT2</t>
  </si>
  <si>
    <t>622323041R00</t>
  </si>
  <si>
    <t>624602111R00</t>
  </si>
  <si>
    <t>998011032R00</t>
  </si>
  <si>
    <t>764</t>
  </si>
  <si>
    <t>764410850R00</t>
  </si>
  <si>
    <t>764928103R00</t>
  </si>
  <si>
    <t>998764102R00</t>
  </si>
  <si>
    <t>766</t>
  </si>
  <si>
    <t>766601211RT1</t>
  </si>
  <si>
    <t>766694113R00</t>
  </si>
  <si>
    <t>998766102R00</t>
  </si>
  <si>
    <t>60775431</t>
  </si>
  <si>
    <t>60775451</t>
  </si>
  <si>
    <t>55335960</t>
  </si>
  <si>
    <t>766694111R00</t>
  </si>
  <si>
    <t>642953221R030VD</t>
  </si>
  <si>
    <t>642953221R032VD</t>
  </si>
  <si>
    <t>642953221R033VD</t>
  </si>
  <si>
    <t>642953221R0434VD</t>
  </si>
  <si>
    <t>642953221R0435VD</t>
  </si>
  <si>
    <t>781</t>
  </si>
  <si>
    <t>781101111R00</t>
  </si>
  <si>
    <t>781101210RT1</t>
  </si>
  <si>
    <t>781210121R00</t>
  </si>
  <si>
    <t>998781102R00</t>
  </si>
  <si>
    <t>59781347</t>
  </si>
  <si>
    <t>784</t>
  </si>
  <si>
    <t>784142112R00</t>
  </si>
  <si>
    <t>784111101R00</t>
  </si>
  <si>
    <t>94</t>
  </si>
  <si>
    <t>941955002R00</t>
  </si>
  <si>
    <t>941941832R00</t>
  </si>
  <si>
    <t>941941032R00</t>
  </si>
  <si>
    <t>95</t>
  </si>
  <si>
    <t>952901111R00</t>
  </si>
  <si>
    <t>96</t>
  </si>
  <si>
    <t>968061112R00</t>
  </si>
  <si>
    <t>968062247R00</t>
  </si>
  <si>
    <t>979990162R00</t>
  </si>
  <si>
    <t>968091001R00</t>
  </si>
  <si>
    <t>979990103R00</t>
  </si>
  <si>
    <t>979083191R00</t>
  </si>
  <si>
    <t>979083117R00</t>
  </si>
  <si>
    <t>979082212R00</t>
  </si>
  <si>
    <t>979011121R00</t>
  </si>
  <si>
    <t>979011111R00</t>
  </si>
  <si>
    <t>979094211R00</t>
  </si>
  <si>
    <t>Výměna části oken a dveří v areálu Gymnázia Aš</t>
  </si>
  <si>
    <t>Školní budova</t>
  </si>
  <si>
    <t>p.č. 2798/3,2805/9, st.2728, 2729, 2730, 2731 v k.ú. Aš (600521)</t>
  </si>
  <si>
    <t>Zkrácený popis</t>
  </si>
  <si>
    <t>Rozměry</t>
  </si>
  <si>
    <t>Úprava povrchů vnitřní</t>
  </si>
  <si>
    <t>Vyspravení beton. konstrukcí cem. maltou tl. 10 mm</t>
  </si>
  <si>
    <t>Začištění omítek kolem oken,dveří apod.</t>
  </si>
  <si>
    <t>Zakrývání výplní vnitřních otvorů</t>
  </si>
  <si>
    <t>Montáž výztužné lišty okenní</t>
  </si>
  <si>
    <t>Profil okenní začišťovací bez tkani., 6mm dl. 2,4m</t>
  </si>
  <si>
    <t>Zateplovací systém , parapet, XPS tl. 20 mm, včetně stěrky s armovací tkaninou</t>
  </si>
  <si>
    <t>Úprava povrchů vnější</t>
  </si>
  <si>
    <t>Omítka stěn vnější ze SMS štuková slož. II. ručně</t>
  </si>
  <si>
    <t>Nátěr stěn vnějších ,slož.1-2,silikon.hydrof.</t>
  </si>
  <si>
    <t>Penetrace podkladu</t>
  </si>
  <si>
    <t>Tmelení spár rámu oken s omítkou spárovací maltou, na bázi disperzních polymerů, přetiratelnou,adhezní</t>
  </si>
  <si>
    <t>Přesun hmot pro budovy z bloků výšky do 12 m</t>
  </si>
  <si>
    <t>Konstrukce klempířské</t>
  </si>
  <si>
    <t>Demontáž oplechování parapetů,rš od 100 do 330 mm</t>
  </si>
  <si>
    <t>Z+M oplech.parapetů z popl.plechu vč.rohů rš 200</t>
  </si>
  <si>
    <t>Přesun hmot pro klempířské konstr., výšky do 12 m</t>
  </si>
  <si>
    <t>Konstrukce truhlářské</t>
  </si>
  <si>
    <t>Těsnění okenní spáry, ostění- samolepící flexibilní, těsnící okenní pás š. 70mm, 1x exterier +1x interiér, včetně speciální montážní PUR pěny, viz TZ</t>
  </si>
  <si>
    <t>Montáž parapetních desek š.do 30 cm,dl.do 260 cm</t>
  </si>
  <si>
    <t>Přesun hmot pro truhlářské konstr., výšky do 12 m</t>
  </si>
  <si>
    <t>Parapet interiér DTD šíře 200 mm tyč dl. 4,1m</t>
  </si>
  <si>
    <t>Krytka boční oboustranná pro DTD parapet 200 mm</t>
  </si>
  <si>
    <t>Lišta Al krycí hranatá š. 60 mm přírodní</t>
  </si>
  <si>
    <t>Montáž parapetních desek š.do 30 cm,dl.do 100 cm</t>
  </si>
  <si>
    <t>Dodávka a montáž Plasového okna OD01, š.2250xv.2250mm, minimální kvalitativnívlastnosti dle TABULKY1</t>
  </si>
  <si>
    <t>Dodávka a montáž Plasového okna OD02, š.1500xv.1800mm, minimální kvalitativní vlastnosti dle TABULKY1</t>
  </si>
  <si>
    <t>Dodávka a montáž Plasového okna OD03, š.2060xv.3050mm, minimální kvalitativní vlastnosti dle TABULKY1</t>
  </si>
  <si>
    <t>Dodávka a montáž Plasového okna OD04, š.2400xv.2400mm, minimální kvalitativní vlastnosti dle TABULKY1</t>
  </si>
  <si>
    <t>Dodávka a montáž Plasového okna OD05, š.2400xv.1500mm, minimální kvalitativní vlastnosti dle TABULKY1</t>
  </si>
  <si>
    <t>Obklady (keramické)</t>
  </si>
  <si>
    <t>Vyrovnání podkladu maltou ze SMS tl. do 7 mm</t>
  </si>
  <si>
    <t>Penetrace podkladu pod obklady</t>
  </si>
  <si>
    <t>Obkládání stěn obkl. pórovin. do tmele do 150x150</t>
  </si>
  <si>
    <t>Přesun hmot pro obklady keramické, výšky do 12 m</t>
  </si>
  <si>
    <t>Obkládačka 15x15 světle šedá mat</t>
  </si>
  <si>
    <t>Malby</t>
  </si>
  <si>
    <t>Malba vápenná,  bílá, bez penetrace 2 x</t>
  </si>
  <si>
    <t>Lešení a stavební výtahy</t>
  </si>
  <si>
    <t>Lešení lehké pomocné, výška podlahy do 1,9 m</t>
  </si>
  <si>
    <t>Demontáž lešení leh.řad.s podlahami,š.1 m, H 30 m</t>
  </si>
  <si>
    <t>Montáž lešení leh.řad.s podlahami,š.do 1 m, H 30 m</t>
  </si>
  <si>
    <t>Různé dokončovací konstrukce a práce na pozemních stavbách</t>
  </si>
  <si>
    <t>Vyčištění budov o výšce podlaží do 4 m</t>
  </si>
  <si>
    <t>Bourání konstrukcí</t>
  </si>
  <si>
    <t>Vyvěšení dřevěných okenních křídel pl. do 1,5 m2</t>
  </si>
  <si>
    <t>Vybourání dřevěných rámů oken nad 4 m2</t>
  </si>
  <si>
    <t>Poplatek za skládku suti - dřevo+sklo</t>
  </si>
  <si>
    <t>Bourání parapetů teracových š. do 30 cm tl.3 cm</t>
  </si>
  <si>
    <t>Poplatek za skládku suti - beton</t>
  </si>
  <si>
    <t>Příplatek za dalších započatých 1000 m nad 6000 m</t>
  </si>
  <si>
    <t>Vodorovné přemístění suti na skládku do 6000 m</t>
  </si>
  <si>
    <t>Vodorovná doprava suti po suchu do 50 m</t>
  </si>
  <si>
    <t>Příplatek za každé další podlaží</t>
  </si>
  <si>
    <t>Svislá doprava suti a vybour. hmot za 2.NP a 1.PP</t>
  </si>
  <si>
    <t>Nakládání nebo překládání vybourané suti</t>
  </si>
  <si>
    <t>Doba výstavby:</t>
  </si>
  <si>
    <t>Začátek výstavby:</t>
  </si>
  <si>
    <t>Konec výstavby:</t>
  </si>
  <si>
    <t>Zpracováno dne:</t>
  </si>
  <si>
    <t>MJ</t>
  </si>
  <si>
    <t>m2</t>
  </si>
  <si>
    <t>m</t>
  </si>
  <si>
    <t>t</t>
  </si>
  <si>
    <t>kus</t>
  </si>
  <si>
    <t>ks</t>
  </si>
  <si>
    <t>Množství</t>
  </si>
  <si>
    <t>13.04.2021</t>
  </si>
  <si>
    <t>Cena/MJ</t>
  </si>
  <si>
    <t>(Kč)</t>
  </si>
  <si>
    <t>Objednatel:</t>
  </si>
  <si>
    <t>Projektant:</t>
  </si>
  <si>
    <t>Zhotovitel:</t>
  </si>
  <si>
    <t>Zpracoval:</t>
  </si>
  <si>
    <t>Náklady (Kč)</t>
  </si>
  <si>
    <t>Dodávka</t>
  </si>
  <si>
    <t>Celkem:</t>
  </si>
  <si>
    <t>Gymnázium Aš, příspěvková organizace, Hlavní 106,</t>
  </si>
  <si>
    <t>Ing. Jarosklav Radovnický</t>
  </si>
  <si>
    <t> </t>
  </si>
  <si>
    <t>Ing. Jaroslav Radovnický</t>
  </si>
  <si>
    <t>Montáž</t>
  </si>
  <si>
    <t>Celkem</t>
  </si>
  <si>
    <t>Hmotnost (t)</t>
  </si>
  <si>
    <t>Jednot.</t>
  </si>
  <si>
    <t>Cenová</t>
  </si>
  <si>
    <t>soustava</t>
  </si>
  <si>
    <t>RTS I / 2021</t>
  </si>
  <si>
    <t>Vlastní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</si>
  <si>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</si>
  <si>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</si>
  <si>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</si>
  <si>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</si>
  <si>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</si>
  <si>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</si>
  <si>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</si>
  <si>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</si>
  <si>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</si>
  <si>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61_</t>
  </si>
  <si>
    <t>62_</t>
  </si>
  <si>
    <t>764_</t>
  </si>
  <si>
    <t>766_</t>
  </si>
  <si>
    <t>781_</t>
  </si>
  <si>
    <t>784_</t>
  </si>
  <si>
    <t>94_</t>
  </si>
  <si>
    <t>95_</t>
  </si>
  <si>
    <t>96_</t>
  </si>
  <si>
    <t>6_</t>
  </si>
  <si>
    <t>76_</t>
  </si>
  <si>
    <t>78_</t>
  </si>
  <si>
    <t>9_</t>
  </si>
  <si>
    <t>_</t>
  </si>
  <si>
    <t>100002</t>
  </si>
  <si>
    <t>100003</t>
  </si>
  <si>
    <t>100005</t>
  </si>
  <si>
    <t>100009</t>
  </si>
  <si>
    <t>100006</t>
  </si>
  <si>
    <t>100007</t>
  </si>
  <si>
    <t>100008</t>
  </si>
  <si>
    <t>MAT</t>
  </si>
  <si>
    <t>WORK</t>
  </si>
  <si>
    <t>CELK</t>
  </si>
  <si>
    <t>ISWORK</t>
  </si>
  <si>
    <t>P</t>
  </si>
  <si>
    <t>M</t>
  </si>
  <si>
    <t>GROUPCODE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</si>
  <si>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</si>
  <si>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</si>
  <si>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</si>
  <si>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</si>
  <si>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</si>
  <si>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T</t>
  </si>
  <si>
    <t>Výkaz výměr</t>
  </si>
  <si>
    <t>0,4*(39*2,25+8*1,5+10*2,06+2*2,4+8*2,4)</t>
  </si>
  <si>
    <t>39*(2*2,25+2,25)</t>
  </si>
  <si>
    <t>8*(2*1,8+1,5)</t>
  </si>
  <si>
    <t>10*(2*3,05+2,06)</t>
  </si>
  <si>
    <t>2*(2*2,4+2,4)</t>
  </si>
  <si>
    <t>8*(2*1,5+2,4)</t>
  </si>
  <si>
    <t>39*5,06+8*2,7+10*6,28+2*5,76+8*3,6</t>
  </si>
  <si>
    <t>;ztratné 10%; 44,325</t>
  </si>
  <si>
    <t>443,25*0,1</t>
  </si>
  <si>
    <t>443,25*0,2</t>
  </si>
  <si>
    <t>39*2,25</t>
  </si>
  <si>
    <t>;ztratné 3%; 2,6325</t>
  </si>
  <si>
    <t>2*39</t>
  </si>
  <si>
    <t>0,5*457,94</t>
  </si>
  <si>
    <t>228,97</t>
  </si>
  <si>
    <t>2*(39*2,25+8*1,5+10*2,06+2*2,4+8*2,4)</t>
  </si>
  <si>
    <t>0,5*(95+3*105+23)</t>
  </si>
  <si>
    <t>39*4+2*8+3*8</t>
  </si>
  <si>
    <t>7,4074+1,8954</t>
  </si>
  <si>
    <t xml:space="preserve"> okna - parapet, vit TZ</t>
  </si>
  <si>
    <t>OD01</t>
  </si>
  <si>
    <t>OD02</t>
  </si>
  <si>
    <t>OD03</t>
  </si>
  <si>
    <t>OD04</t>
  </si>
  <si>
    <t>OD05</t>
  </si>
  <si>
    <t>Dveře a ukna, viz TAB1</t>
  </si>
  <si>
    <t>Okna - parapet, viz TZ</t>
  </si>
  <si>
    <t>viz pol. 612409991RT2 a TZ</t>
  </si>
  <si>
    <t>Okna - pod parapetem, viz TZ</t>
  </si>
  <si>
    <t>OD01 - parapet, viz TZ</t>
  </si>
  <si>
    <t>pol. 612409991RT2, kolemn výplní otvorů, viz TZ</t>
  </si>
  <si>
    <t>viz pol 784142112R00</t>
  </si>
  <si>
    <t>Okna</t>
  </si>
  <si>
    <t>OD01, OD02, OD05</t>
  </si>
  <si>
    <t>Okna, viz TAB1</t>
  </si>
  <si>
    <t>TZ</t>
  </si>
  <si>
    <t>Potřebné množství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</si>
  <si>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</si>
  <si>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</si>
  <si>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</si>
  <si>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</si>
  <si>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</si>
  <si>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</si>
  <si>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</si>
  <si>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</si>
  <si>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</si>
  <si>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</si>
  <si>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</si>
  <si>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</si>
  <si>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</si>
  <si>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</si>
  <si>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</si>
  <si>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</si>
  <si>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</si>
  <si>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</si>
  <si>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</si>
  <si>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</si>
  <si>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</si>
  <si>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</si>
  <si>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</si>
  <si>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</si>
  <si>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</si>
  <si>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</si>
  <si>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</si>
  <si>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</si>
  <si>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</si>
  <si>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</si>
  <si>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</si>
  <si>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</si>
  <si>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</si>
  <si>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</si>
  <si>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</si>
  <si>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</si>
  <si>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</si>
  <si>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</si>
  <si>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</si>
  <si>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</si>
  <si>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</si>
  <si>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</si>
  <si>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</si>
  <si>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47723416/CZ47723416</t>
  </si>
  <si>
    <t>44612346/CZ6403231483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</si>
  <si>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</si>
  <si>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</si>
  <si>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</si>
  <si>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</si>
  <si>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</si>
  <si>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</si>
  <si>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</si>
  <si>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</si>
  <si>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</si>
  <si>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</si>
  <si>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</si>
  <si>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</si>
  <si>
    <t>Koordinační a kompletační činnost dodavatele</t>
  </si>
  <si>
    <t>Náklady na veškeré energie související s realizací akce</t>
  </si>
  <si>
    <t>Opatření k zajištění bezpečnosti účastníků realizace akce a veřejnosti (zejména zajištění staveniště, bezpečnostní tabulky)</t>
  </si>
  <si>
    <t>POKYNY PRO VYPLNĚNÍ</t>
  </si>
  <si>
    <t>Uchazeč vyplní žlutě zvýrazněné pole</t>
  </si>
  <si>
    <t>Zpracování projektové dokumentace skutečného provedení stavby dle vyhl. č. 499/2006 Sb., o dokumentaci staveb, ve znění pozdějších předpisů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</si>
</sst>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51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i/>
      <sz val="9"/>
      <color indexed="63"/>
      <name val="Arial"/>
      <family val="2"/>
    </font>
    <font>
      <i/>
      <sz val="9"/>
      <color indexed="50"/>
      <name val="Arial"/>
      <family val="2"/>
    </font>
    <font>
      <i/>
      <sz val="9"/>
      <color indexed="61"/>
      <name val="Arial"/>
      <family val="2"/>
    </font>
    <font>
      <i/>
      <sz val="9"/>
      <color indexed="62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7" fillId="20" borderId="0" applyNumberFormat="0" applyBorder="0" applyAlignment="0" applyProtection="0"/>
    <xf numFmtId="0" fontId="38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06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4" fillId="33" borderId="13" xfId="0" applyNumberFormat="1" applyFont="1" applyFill="1" applyBorder="1" applyAlignment="1" applyProtection="1">
      <alignment horizontal="left" vertical="center"/>
      <protection/>
    </xf>
    <xf numFmtId="49" fontId="5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18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8" fillId="33" borderId="18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8" fillId="33" borderId="27" xfId="0" applyNumberFormat="1" applyFont="1" applyFill="1" applyBorder="1" applyAlignment="1" applyProtection="1">
      <alignment horizontal="right" vertical="center"/>
      <protection/>
    </xf>
    <xf numFmtId="49" fontId="5" fillId="0" borderId="28" xfId="0" applyNumberFormat="1" applyFont="1" applyFill="1" applyBorder="1" applyAlignment="1" applyProtection="1">
      <alignment horizontal="right" vertical="center"/>
      <protection/>
    </xf>
    <xf numFmtId="49" fontId="6" fillId="0" borderId="28" xfId="0" applyNumberFormat="1" applyFont="1" applyFill="1" applyBorder="1" applyAlignment="1" applyProtection="1">
      <alignment horizontal="right" vertical="center"/>
      <protection/>
    </xf>
    <xf numFmtId="49" fontId="8" fillId="33" borderId="28" xfId="0" applyNumberFormat="1" applyFont="1" applyFill="1" applyBorder="1" applyAlignment="1" applyProtection="1">
      <alignment horizontal="right" vertical="center"/>
      <protection/>
    </xf>
    <xf numFmtId="49" fontId="5" fillId="0" borderId="29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8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31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32" xfId="0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" fontId="1" fillId="0" borderId="19" xfId="0" applyNumberFormat="1" applyFont="1" applyFill="1" applyBorder="1" applyAlignment="1" applyProtection="1">
      <alignment horizontal="right" vertical="center"/>
      <protection/>
    </xf>
    <xf numFmtId="4" fontId="1" fillId="0" borderId="27" xfId="0" applyNumberFormat="1" applyFont="1" applyFill="1" applyBorder="1" applyAlignment="1" applyProtection="1">
      <alignment horizontal="right" vertical="center"/>
      <protection/>
    </xf>
    <xf numFmtId="4" fontId="1" fillId="0" borderId="28" xfId="0" applyNumberFormat="1" applyFont="1" applyFill="1" applyBorder="1" applyAlignment="1" applyProtection="1">
      <alignment horizontal="right" vertical="center"/>
      <protection/>
    </xf>
    <xf numFmtId="4" fontId="1" fillId="0" borderId="29" xfId="0" applyNumberFormat="1" applyFont="1" applyFill="1" applyBorder="1" applyAlignment="1" applyProtection="1">
      <alignment horizontal="right" vertical="center"/>
      <protection/>
    </xf>
    <xf numFmtId="49" fontId="3" fillId="0" borderId="33" xfId="0" applyNumberFormat="1" applyFont="1" applyFill="1" applyBorder="1" applyAlignment="1" applyProtection="1">
      <alignment horizontal="left" vertical="center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5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31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Fill="1" applyBorder="1" applyAlignment="1" applyProtection="1">
      <alignment horizontal="right" vertical="center"/>
      <protection/>
    </xf>
    <xf numFmtId="4" fontId="11" fillId="0" borderId="0" xfId="0" applyNumberFormat="1" applyFont="1" applyFill="1" applyBorder="1" applyAlignment="1" applyProtection="1">
      <alignment horizontal="right" vertical="center"/>
      <protection/>
    </xf>
    <xf numFmtId="4" fontId="12" fillId="0" borderId="0" xfId="0" applyNumberFormat="1" applyFont="1" applyFill="1" applyBorder="1" applyAlignment="1" applyProtection="1">
      <alignment horizontal="right" vertical="center"/>
      <protection/>
    </xf>
    <xf numFmtId="4" fontId="11" fillId="0" borderId="19" xfId="0" applyNumberFormat="1" applyFont="1" applyFill="1" applyBorder="1" applyAlignment="1" applyProtection="1">
      <alignment horizontal="right" vertical="center"/>
      <protection/>
    </xf>
    <xf numFmtId="49" fontId="3" fillId="0" borderId="32" xfId="0" applyNumberFormat="1" applyFont="1" applyFill="1" applyBorder="1" applyAlignment="1" applyProtection="1">
      <alignment horizontal="left" vertical="center"/>
      <protection/>
    </xf>
    <xf numFmtId="4" fontId="5" fillId="0" borderId="27" xfId="0" applyNumberFormat="1" applyFont="1" applyFill="1" applyBorder="1" applyAlignment="1" applyProtection="1">
      <alignment horizontal="right"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" fontId="5" fillId="0" borderId="28" xfId="0" applyNumberFormat="1" applyFont="1" applyFill="1" applyBorder="1" applyAlignment="1" applyProtection="1">
      <alignment horizontal="right" vertical="center"/>
      <protection/>
    </xf>
    <xf numFmtId="4" fontId="6" fillId="0" borderId="28" xfId="0" applyNumberFormat="1" applyFont="1" applyFill="1" applyBorder="1" applyAlignment="1" applyProtection="1">
      <alignment horizontal="righ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14" fillId="34" borderId="34" xfId="0" applyNumberFormat="1" applyFont="1" applyFill="1" applyBorder="1" applyAlignment="1" applyProtection="1">
      <alignment horizontal="center" vertical="center"/>
      <protection/>
    </xf>
    <xf numFmtId="49" fontId="15" fillId="0" borderId="35" xfId="0" applyNumberFormat="1" applyFont="1" applyFill="1" applyBorder="1" applyAlignment="1" applyProtection="1">
      <alignment horizontal="left" vertical="center"/>
      <protection/>
    </xf>
    <xf numFmtId="49" fontId="15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49" fontId="16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38" xfId="0" applyNumberFormat="1" applyFont="1" applyFill="1" applyBorder="1" applyAlignment="1" applyProtection="1">
      <alignment vertical="center"/>
      <protection/>
    </xf>
    <xf numFmtId="4" fontId="16" fillId="0" borderId="34" xfId="0" applyNumberFormat="1" applyFont="1" applyFill="1" applyBorder="1" applyAlignment="1" applyProtection="1">
      <alignment horizontal="right" vertical="center"/>
      <protection/>
    </xf>
    <xf numFmtId="49" fontId="16" fillId="0" borderId="34" xfId="0" applyNumberFormat="1" applyFont="1" applyFill="1" applyBorder="1" applyAlignment="1" applyProtection="1">
      <alignment horizontal="right" vertical="center"/>
      <protection/>
    </xf>
    <xf numFmtId="4" fontId="16" fillId="0" borderId="23" xfId="0" applyNumberFormat="1" applyFont="1" applyFill="1" applyBorder="1" applyAlignment="1" applyProtection="1">
      <alignment horizontal="righ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" fontId="15" fillId="34" borderId="39" xfId="0" applyNumberFormat="1" applyFont="1" applyFill="1" applyBorder="1" applyAlignment="1" applyProtection="1">
      <alignment horizontal="right" vertical="center"/>
      <protection/>
    </xf>
    <xf numFmtId="0" fontId="1" fillId="0" borderId="40" xfId="0" applyNumberFormat="1" applyFont="1" applyFill="1" applyBorder="1" applyAlignment="1" applyProtection="1">
      <alignment vertical="center"/>
      <protection/>
    </xf>
    <xf numFmtId="0" fontId="1" fillId="0" borderId="41" xfId="0" applyNumberFormat="1" applyFont="1" applyFill="1" applyBorder="1" applyAlignment="1" applyProtection="1">
      <alignment vertical="center"/>
      <protection/>
    </xf>
    <xf numFmtId="49" fontId="3" fillId="0" borderId="42" xfId="0" applyNumberFormat="1" applyFont="1" applyFill="1" applyBorder="1" applyAlignment="1" applyProtection="1">
      <alignment horizontal="right" vertical="center"/>
      <protection/>
    </xf>
    <xf numFmtId="4" fontId="1" fillId="0" borderId="34" xfId="0" applyNumberFormat="1" applyFont="1" applyFill="1" applyBorder="1" applyAlignment="1" applyProtection="1">
      <alignment horizontal="right" vertical="center"/>
      <protection/>
    </xf>
    <xf numFmtId="4" fontId="1" fillId="0" borderId="23" xfId="0" applyNumberFormat="1" applyFont="1" applyFill="1" applyBorder="1" applyAlignment="1" applyProtection="1">
      <alignment horizontal="right" vertical="center"/>
      <protection/>
    </xf>
    <xf numFmtId="49" fontId="3" fillId="0" borderId="43" xfId="0" applyNumberFormat="1" applyFont="1" applyFill="1" applyBorder="1" applyAlignment="1" applyProtection="1">
      <alignment horizontal="left" vertical="center"/>
      <protection/>
    </xf>
    <xf numFmtId="49" fontId="1" fillId="0" borderId="34" xfId="0" applyNumberFormat="1" applyFont="1" applyFill="1" applyBorder="1" applyAlignment="1" applyProtection="1">
      <alignment horizontal="left" vertical="center"/>
      <protection/>
    </xf>
    <xf numFmtId="49" fontId="1" fillId="0" borderId="23" xfId="0" applyNumberFormat="1" applyFont="1" applyFill="1" applyBorder="1" applyAlignment="1" applyProtection="1">
      <alignment horizontal="left" vertical="center"/>
      <protection/>
    </xf>
    <xf numFmtId="49" fontId="3" fillId="0" borderId="43" xfId="0" applyNumberFormat="1" applyFont="1" applyFill="1" applyBorder="1" applyAlignment="1" applyProtection="1">
      <alignment horizontal="right" vertical="center"/>
      <protection/>
    </xf>
    <xf numFmtId="4" fontId="3" fillId="0" borderId="43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4" fontId="5" fillId="35" borderId="0" xfId="0" applyNumberFormat="1" applyFont="1" applyFill="1" applyBorder="1" applyAlignment="1" applyProtection="1">
      <alignment horizontal="right" vertical="center"/>
      <protection locked="0"/>
    </xf>
    <xf numFmtId="4" fontId="6" fillId="35" borderId="0" xfId="0" applyNumberFormat="1" applyFont="1" applyFill="1" applyBorder="1" applyAlignment="1" applyProtection="1">
      <alignment horizontal="right" vertical="center"/>
      <protection locked="0"/>
    </xf>
    <xf numFmtId="4" fontId="5" fillId="35" borderId="19" xfId="0" applyNumberFormat="1" applyFont="1" applyFill="1" applyBorder="1" applyAlignment="1" applyProtection="1">
      <alignment horizontal="right" vertical="center"/>
      <protection locked="0"/>
    </xf>
    <xf numFmtId="4" fontId="1" fillId="35" borderId="34" xfId="0" applyNumberFormat="1" applyFont="1" applyFill="1" applyBorder="1" applyAlignment="1" applyProtection="1">
      <alignment horizontal="right" vertical="center"/>
      <protection locked="0"/>
    </xf>
    <xf numFmtId="49" fontId="2" fillId="0" borderId="19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44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5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47" xfId="0" applyNumberFormat="1" applyFont="1" applyFill="1" applyBorder="1" applyAlignment="1" applyProtection="1">
      <alignment horizontal="center" vertical="center"/>
      <protection/>
    </xf>
    <xf numFmtId="0" fontId="3" fillId="0" borderId="48" xfId="0" applyNumberFormat="1" applyFont="1" applyFill="1" applyBorder="1" applyAlignment="1" applyProtection="1">
      <alignment horizontal="center" vertical="center"/>
      <protection/>
    </xf>
    <xf numFmtId="0" fontId="3" fillId="0" borderId="49" xfId="0" applyNumberFormat="1" applyFont="1" applyFill="1" applyBorder="1" applyAlignment="1" applyProtection="1">
      <alignment horizontal="center" vertical="center"/>
      <protection/>
    </xf>
    <xf numFmtId="49" fontId="3" fillId="0" borderId="45" xfId="0" applyNumberFormat="1" applyFont="1" applyFill="1" applyBorder="1" applyAlignment="1" applyProtection="1">
      <alignment horizontal="left" vertical="center"/>
      <protection/>
    </xf>
    <xf numFmtId="49" fontId="3" fillId="0" borderId="46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0" fontId="8" fillId="33" borderId="18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 wrapText="1"/>
      <protection/>
    </xf>
    <xf numFmtId="0" fontId="1" fillId="0" borderId="28" xfId="0" applyNumberFormat="1" applyFont="1" applyFill="1" applyBorder="1" applyAlignment="1" applyProtection="1">
      <alignment horizontal="left" vertical="center" wrapText="1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50" xfId="0" applyNumberFormat="1" applyFont="1" applyFill="1" applyBorder="1" applyAlignment="1" applyProtection="1">
      <alignment horizontal="left" vertical="center"/>
      <protection/>
    </xf>
    <xf numFmtId="0" fontId="3" fillId="0" borderId="51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52" xfId="0" applyNumberFormat="1" applyFont="1" applyFill="1" applyBorder="1" applyAlignment="1" applyProtection="1">
      <alignment horizontal="left" vertical="center"/>
      <protection/>
    </xf>
    <xf numFmtId="49" fontId="5" fillId="0" borderId="18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19" xfId="0" applyNumberFormat="1" applyFont="1" applyFill="1" applyBorder="1" applyAlignment="1" applyProtection="1">
      <alignment horizontal="left" vertical="center"/>
      <protection/>
    </xf>
    <xf numFmtId="0" fontId="10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38" xfId="0" applyNumberFormat="1" applyFont="1" applyFill="1" applyBorder="1" applyAlignment="1" applyProtection="1">
      <alignment horizontal="left" vertical="center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49" fontId="13" fillId="0" borderId="53" xfId="0" applyNumberFormat="1" applyFont="1" applyFill="1" applyBorder="1" applyAlignment="1" applyProtection="1">
      <alignment horizontal="center" vertical="center"/>
      <protection/>
    </xf>
    <xf numFmtId="0" fontId="13" fillId="0" borderId="53" xfId="0" applyNumberFormat="1" applyFont="1" applyFill="1" applyBorder="1" applyAlignment="1" applyProtection="1">
      <alignment horizontal="center" vertical="center"/>
      <protection/>
    </xf>
    <xf numFmtId="49" fontId="17" fillId="0" borderId="54" xfId="0" applyNumberFormat="1" applyFont="1" applyFill="1" applyBorder="1" applyAlignment="1" applyProtection="1">
      <alignment horizontal="left" vertical="center"/>
      <protection/>
    </xf>
    <xf numFmtId="0" fontId="17" fillId="0" borderId="39" xfId="0" applyNumberFormat="1" applyFont="1" applyFill="1" applyBorder="1" applyAlignment="1" applyProtection="1">
      <alignment horizontal="left" vertical="center"/>
      <protection/>
    </xf>
    <xf numFmtId="49" fontId="16" fillId="0" borderId="54" xfId="0" applyNumberFormat="1" applyFont="1" applyFill="1" applyBorder="1" applyAlignment="1" applyProtection="1">
      <alignment horizontal="left" vertical="center"/>
      <protection/>
    </xf>
    <xf numFmtId="0" fontId="16" fillId="0" borderId="39" xfId="0" applyNumberFormat="1" applyFont="1" applyFill="1" applyBorder="1" applyAlignment="1" applyProtection="1">
      <alignment horizontal="left" vertical="center"/>
      <protection/>
    </xf>
    <xf numFmtId="49" fontId="15" fillId="0" borderId="54" xfId="0" applyNumberFormat="1" applyFont="1" applyFill="1" applyBorder="1" applyAlignment="1" applyProtection="1">
      <alignment horizontal="left" vertical="center"/>
      <protection/>
    </xf>
    <xf numFmtId="0" fontId="15" fillId="0" borderId="39" xfId="0" applyNumberFormat="1" applyFont="1" applyFill="1" applyBorder="1" applyAlignment="1" applyProtection="1">
      <alignment horizontal="left" vertical="center"/>
      <protection/>
    </xf>
    <xf numFmtId="49" fontId="15" fillId="34" borderId="54" xfId="0" applyNumberFormat="1" applyFont="1" applyFill="1" applyBorder="1" applyAlignment="1" applyProtection="1">
      <alignment horizontal="left" vertical="center"/>
      <protection/>
    </xf>
    <xf numFmtId="0" fontId="15" fillId="34" borderId="53" xfId="0" applyNumberFormat="1" applyFont="1" applyFill="1" applyBorder="1" applyAlignment="1" applyProtection="1">
      <alignment horizontal="left" vertical="center"/>
      <protection/>
    </xf>
    <xf numFmtId="49" fontId="16" fillId="0" borderId="55" xfId="0" applyNumberFormat="1" applyFont="1" applyFill="1" applyBorder="1" applyAlignment="1" applyProtection="1">
      <alignment horizontal="left" vertical="center"/>
      <protection/>
    </xf>
    <xf numFmtId="0" fontId="16" fillId="0" borderId="18" xfId="0" applyNumberFormat="1" applyFont="1" applyFill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center"/>
      <protection/>
    </xf>
    <xf numFmtId="49" fontId="16" fillId="0" borderId="30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57" xfId="0" applyNumberFormat="1" applyFont="1" applyFill="1" applyBorder="1" applyAlignment="1" applyProtection="1">
      <alignment horizontal="left" vertical="center"/>
      <protection/>
    </xf>
    <xf numFmtId="49" fontId="16" fillId="0" borderId="58" xfId="0" applyNumberFormat="1" applyFont="1" applyFill="1" applyBorder="1" applyAlignment="1" applyProtection="1">
      <alignment horizontal="left" vertical="center"/>
      <protection/>
    </xf>
    <xf numFmtId="0" fontId="16" fillId="0" borderId="41" xfId="0" applyNumberFormat="1" applyFont="1" applyFill="1" applyBorder="1" applyAlignment="1" applyProtection="1">
      <alignment horizontal="left" vertical="center"/>
      <protection/>
    </xf>
    <xf numFmtId="0" fontId="16" fillId="0" borderId="59" xfId="0" applyNumberFormat="1" applyFont="1" applyFill="1" applyBorder="1" applyAlignment="1" applyProtection="1">
      <alignment horizontal="left" vertical="center"/>
      <protection/>
    </xf>
    <xf numFmtId="49" fontId="15" fillId="0" borderId="41" xfId="0" applyNumberFormat="1" applyFont="1" applyFill="1" applyBorder="1" applyAlignment="1" applyProtection="1">
      <alignment horizontal="left" vertical="center"/>
      <protection/>
    </xf>
    <xf numFmtId="0" fontId="15" fillId="0" borderId="41" xfId="0" applyNumberFormat="1" applyFont="1" applyFill="1" applyBorder="1" applyAlignment="1" applyProtection="1">
      <alignment horizontal="left" vertical="center"/>
      <protection/>
    </xf>
    <xf numFmtId="49" fontId="3" fillId="0" borderId="47" xfId="0" applyNumberFormat="1" applyFont="1" applyFill="1" applyBorder="1" applyAlignment="1" applyProtection="1">
      <alignment horizontal="left" vertical="center"/>
      <protection/>
    </xf>
    <xf numFmtId="0" fontId="3" fillId="0" borderId="48" xfId="0" applyNumberFormat="1" applyFont="1" applyFill="1" applyBorder="1" applyAlignment="1" applyProtection="1">
      <alignment horizontal="left" vertical="center"/>
      <protection/>
    </xf>
    <xf numFmtId="0" fontId="3" fillId="0" borderId="49" xfId="0" applyNumberFormat="1" applyFont="1" applyFill="1" applyBorder="1" applyAlignment="1" applyProtection="1">
      <alignment horizontal="left" vertical="center"/>
      <protection/>
    </xf>
    <xf numFmtId="49" fontId="1" fillId="0" borderId="54" xfId="0" applyNumberFormat="1" applyFont="1" applyFill="1" applyBorder="1" applyAlignment="1" applyProtection="1">
      <alignment horizontal="left" vertical="center"/>
      <protection/>
    </xf>
    <xf numFmtId="0" fontId="1" fillId="0" borderId="53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49" fontId="1" fillId="0" borderId="60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61" xfId="0" applyNumberFormat="1" applyFont="1" applyFill="1" applyBorder="1" applyAlignment="1" applyProtection="1">
      <alignment horizontal="left" vertical="center"/>
      <protection/>
    </xf>
    <xf numFmtId="0" fontId="3" fillId="0" borderId="40" xfId="0" applyNumberFormat="1" applyFont="1" applyFill="1" applyBorder="1" applyAlignment="1" applyProtection="1">
      <alignment horizontal="left" vertical="center"/>
      <protection/>
    </xf>
    <xf numFmtId="0" fontId="3" fillId="0" borderId="62" xfId="0" applyNumberFormat="1" applyFont="1" applyFill="1" applyBorder="1" applyAlignment="1" applyProtection="1">
      <alignment horizontal="left" vertical="center"/>
      <protection/>
    </xf>
    <xf numFmtId="49" fontId="15" fillId="0" borderId="50" xfId="0" applyNumberFormat="1" applyFont="1" applyFill="1" applyBorder="1" applyAlignment="1" applyProtection="1">
      <alignment horizontal="left" vertical="center"/>
      <protection/>
    </xf>
    <xf numFmtId="0" fontId="15" fillId="0" borderId="40" xfId="0" applyNumberFormat="1" applyFont="1" applyFill="1" applyBorder="1" applyAlignment="1" applyProtection="1">
      <alignment horizontal="left" vertical="center"/>
      <protection/>
    </xf>
    <xf numFmtId="0" fontId="15" fillId="0" borderId="62" xfId="0" applyNumberFormat="1" applyFont="1" applyFill="1" applyBorder="1" applyAlignment="1" applyProtection="1">
      <alignment horizontal="left" vertical="center"/>
      <protection/>
    </xf>
    <xf numFmtId="4" fontId="15" fillId="0" borderId="50" xfId="0" applyNumberFormat="1" applyFont="1" applyFill="1" applyBorder="1" applyAlignment="1" applyProtection="1">
      <alignment horizontal="right" vertical="center"/>
      <protection/>
    </xf>
    <xf numFmtId="0" fontId="15" fillId="0" borderId="40" xfId="0" applyNumberFormat="1" applyFont="1" applyFill="1" applyBorder="1" applyAlignment="1" applyProtection="1">
      <alignment horizontal="right" vertical="center"/>
      <protection/>
    </xf>
    <xf numFmtId="0" fontId="15" fillId="0" borderId="62" xfId="0" applyNumberFormat="1" applyFont="1" applyFill="1" applyBorder="1" applyAlignment="1" applyProtection="1">
      <alignment horizontal="right" vertical="center"/>
      <protection/>
    </xf>
    <xf numFmtId="49" fontId="1" fillId="0" borderId="54" xfId="0" applyNumberFormat="1" applyFont="1" applyFill="1" applyBorder="1" applyAlignment="1" applyProtection="1">
      <alignment horizontal="left" vertical="center" wrapText="1"/>
      <protection/>
    </xf>
    <xf numFmtId="0" fontId="1" fillId="0" borderId="53" xfId="0" applyNumberFormat="1" applyFont="1" applyFill="1" applyBorder="1" applyAlignment="1" applyProtection="1">
      <alignment horizontal="left" vertical="center" wrapText="1"/>
      <protection/>
    </xf>
    <xf numFmtId="0" fontId="1" fillId="0" borderId="39" xfId="0" applyNumberFormat="1" applyFont="1" applyFill="1" applyBorder="1" applyAlignment="1" applyProtection="1">
      <alignment horizontal="left" vertical="center" wrapText="1"/>
      <protection/>
    </xf>
    <xf numFmtId="0" fontId="33" fillId="0" borderId="0" xfId="0" applyFont="1" applyAlignment="1">
      <alignment horizontal="center" vertical="center"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457200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1"/>
  <sheetViews>
    <sheetView zoomScale="85" zoomScaleNormal="85" zoomScalePageLayoutView="0" workbookViewId="0" topLeftCell="C1">
      <pane ySplit="11" topLeftCell="A36" activePane="bottomLeft" state="frozen"/>
      <selection pane="topLeft" activeCell="A1" sqref="A1"/>
      <selection pane="bottomLeft" activeCell="G51" sqref="G51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1.421875" style="0" customWidth="1"/>
    <col min="4" max="4" width="89.2812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24" width="11.57421875" style="0" customWidth="1"/>
    <col min="25" max="64" width="12.140625" style="0" hidden="1" customWidth="1"/>
  </cols>
  <sheetData>
    <row r="1" spans="1:13" ht="72.75" customHeigh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4" ht="12.75">
      <c r="A2" s="108" t="s">
        <v>1</v>
      </c>
      <c r="B2" s="109"/>
      <c r="C2" s="112" t="s">
        <v>114</v>
      </c>
      <c r="D2" s="113"/>
      <c r="E2" s="115" t="s">
        <v>175</v>
      </c>
      <c r="F2" s="109"/>
      <c r="G2" s="115" t="s">
        <v>6</v>
      </c>
      <c r="H2" s="116" t="s">
        <v>189</v>
      </c>
      <c r="I2" s="116" t="s">
        <v>196</v>
      </c>
      <c r="J2" s="109"/>
      <c r="K2" s="109"/>
      <c r="L2" s="109"/>
      <c r="M2" s="117"/>
      <c r="N2" s="39"/>
    </row>
    <row r="3" spans="1:14" ht="12.75">
      <c r="A3" s="110"/>
      <c r="B3" s="111"/>
      <c r="C3" s="114"/>
      <c r="D3" s="114"/>
      <c r="E3" s="111"/>
      <c r="F3" s="111"/>
      <c r="G3" s="111"/>
      <c r="H3" s="111"/>
      <c r="I3" s="111"/>
      <c r="J3" s="111"/>
      <c r="K3" s="111"/>
      <c r="L3" s="111"/>
      <c r="M3" s="118"/>
      <c r="N3" s="39"/>
    </row>
    <row r="4" spans="1:14" ht="12.75">
      <c r="A4" s="119" t="s">
        <v>2</v>
      </c>
      <c r="B4" s="111"/>
      <c r="C4" s="120" t="s">
        <v>115</v>
      </c>
      <c r="D4" s="111"/>
      <c r="E4" s="121" t="s">
        <v>176</v>
      </c>
      <c r="F4" s="111"/>
      <c r="G4" s="121" t="s">
        <v>6</v>
      </c>
      <c r="H4" s="120" t="s">
        <v>190</v>
      </c>
      <c r="I4" s="120" t="s">
        <v>197</v>
      </c>
      <c r="J4" s="111"/>
      <c r="K4" s="111"/>
      <c r="L4" s="111"/>
      <c r="M4" s="118"/>
      <c r="N4" s="39"/>
    </row>
    <row r="5" spans="1:14" ht="12.75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8"/>
      <c r="N5" s="39"/>
    </row>
    <row r="6" spans="1:14" ht="12.75">
      <c r="A6" s="119" t="s">
        <v>3</v>
      </c>
      <c r="B6" s="111"/>
      <c r="C6" s="120" t="s">
        <v>116</v>
      </c>
      <c r="D6" s="111"/>
      <c r="E6" s="121" t="s">
        <v>177</v>
      </c>
      <c r="F6" s="111"/>
      <c r="G6" s="121" t="s">
        <v>6</v>
      </c>
      <c r="H6" s="120" t="s">
        <v>191</v>
      </c>
      <c r="I6" s="121" t="s">
        <v>198</v>
      </c>
      <c r="J6" s="111"/>
      <c r="K6" s="111"/>
      <c r="L6" s="111"/>
      <c r="M6" s="118"/>
      <c r="N6" s="39"/>
    </row>
    <row r="7" spans="1:14" ht="12.75">
      <c r="A7" s="110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8"/>
      <c r="N7" s="39"/>
    </row>
    <row r="8" spans="1:14" ht="12.75">
      <c r="A8" s="119" t="s">
        <v>4</v>
      </c>
      <c r="B8" s="111"/>
      <c r="C8" s="120">
        <v>8013252</v>
      </c>
      <c r="D8" s="111"/>
      <c r="E8" s="121" t="s">
        <v>178</v>
      </c>
      <c r="F8" s="111"/>
      <c r="G8" s="121" t="s">
        <v>186</v>
      </c>
      <c r="H8" s="120" t="s">
        <v>192</v>
      </c>
      <c r="I8" s="120" t="s">
        <v>199</v>
      </c>
      <c r="J8" s="111"/>
      <c r="K8" s="111"/>
      <c r="L8" s="111"/>
      <c r="M8" s="118"/>
      <c r="N8" s="39"/>
    </row>
    <row r="9" spans="1:14" ht="12.75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4"/>
      <c r="N9" s="39"/>
    </row>
    <row r="10" spans="1:64" ht="12.75">
      <c r="A10" s="1" t="s">
        <v>5</v>
      </c>
      <c r="B10" s="10" t="s">
        <v>56</v>
      </c>
      <c r="C10" s="125" t="s">
        <v>117</v>
      </c>
      <c r="D10" s="126"/>
      <c r="E10" s="10" t="s">
        <v>179</v>
      </c>
      <c r="F10" s="20" t="s">
        <v>185</v>
      </c>
      <c r="G10" s="24" t="s">
        <v>187</v>
      </c>
      <c r="H10" s="127" t="s">
        <v>193</v>
      </c>
      <c r="I10" s="128"/>
      <c r="J10" s="129"/>
      <c r="K10" s="127" t="s">
        <v>202</v>
      </c>
      <c r="L10" s="129"/>
      <c r="M10" s="32" t="s">
        <v>204</v>
      </c>
      <c r="N10" s="40"/>
      <c r="BK10" s="31" t="s">
        <v>241</v>
      </c>
      <c r="BL10" s="45" t="s">
        <v>244</v>
      </c>
    </row>
    <row r="11" spans="1:62" ht="13.5" customHeight="1" thickBot="1">
      <c r="A11" s="2" t="s">
        <v>6</v>
      </c>
      <c r="B11" s="11" t="s">
        <v>6</v>
      </c>
      <c r="C11" s="130" t="s">
        <v>118</v>
      </c>
      <c r="D11" s="131"/>
      <c r="E11" s="11" t="s">
        <v>6</v>
      </c>
      <c r="F11" s="11" t="s">
        <v>6</v>
      </c>
      <c r="G11" s="25" t="s">
        <v>188</v>
      </c>
      <c r="H11" s="26" t="s">
        <v>194</v>
      </c>
      <c r="I11" s="28" t="s">
        <v>200</v>
      </c>
      <c r="J11" s="29" t="s">
        <v>201</v>
      </c>
      <c r="K11" s="26" t="s">
        <v>203</v>
      </c>
      <c r="L11" s="29" t="s">
        <v>201</v>
      </c>
      <c r="M11" s="33" t="s">
        <v>205</v>
      </c>
      <c r="N11" s="40"/>
      <c r="Z11" s="31" t="s">
        <v>208</v>
      </c>
      <c r="AA11" s="31" t="s">
        <v>209</v>
      </c>
      <c r="AB11" s="31" t="s">
        <v>210</v>
      </c>
      <c r="AC11" s="31" t="s">
        <v>211</v>
      </c>
      <c r="AD11" s="31" t="s">
        <v>212</v>
      </c>
      <c r="AE11" s="31" t="s">
        <v>213</v>
      </c>
      <c r="AF11" s="31" t="s">
        <v>214</v>
      </c>
      <c r="AG11" s="31" t="s">
        <v>215</v>
      </c>
      <c r="AH11" s="31" t="s">
        <v>216</v>
      </c>
      <c r="BH11" s="31" t="s">
        <v>238</v>
      </c>
      <c r="BI11" s="31" t="s">
        <v>239</v>
      </c>
      <c r="BJ11" s="31" t="s">
        <v>240</v>
      </c>
    </row>
    <row r="12" spans="1:47" ht="12.75">
      <c r="A12" s="3"/>
      <c r="B12" s="12" t="s">
        <v>57</v>
      </c>
      <c r="C12" s="132" t="s">
        <v>119</v>
      </c>
      <c r="D12" s="133"/>
      <c r="E12" s="18" t="s">
        <v>6</v>
      </c>
      <c r="F12" s="18" t="s">
        <v>6</v>
      </c>
      <c r="G12" s="18" t="s">
        <v>6</v>
      </c>
      <c r="H12" s="46">
        <f>SUM(H13:H18)</f>
        <v>0</v>
      </c>
      <c r="I12" s="46">
        <f>SUM(I13:I18)</f>
        <v>0</v>
      </c>
      <c r="J12" s="46">
        <f>SUM(J13:J18)</f>
        <v>0</v>
      </c>
      <c r="K12" s="30"/>
      <c r="L12" s="46">
        <f>SUM(L13:L18)</f>
        <v>1.9867167000000003</v>
      </c>
      <c r="M12" s="34"/>
      <c r="N12" s="39"/>
      <c r="AI12" s="31"/>
      <c r="AS12" s="47">
        <f>SUM(AJ13:AJ18)</f>
        <v>0</v>
      </c>
      <c r="AT12" s="47">
        <f>SUM(AK13:AK18)</f>
        <v>0</v>
      </c>
      <c r="AU12" s="47">
        <f>SUM(AL13:AL18)</f>
        <v>0</v>
      </c>
    </row>
    <row r="13" spans="1:64" ht="12.75">
      <c r="A13" s="4" t="s">
        <v>7</v>
      </c>
      <c r="B13" s="13" t="s">
        <v>58</v>
      </c>
      <c r="C13" s="134" t="s">
        <v>120</v>
      </c>
      <c r="D13" s="134"/>
      <c r="E13" s="13" t="s">
        <v>180</v>
      </c>
      <c r="F13" s="21">
        <v>57.74</v>
      </c>
      <c r="G13" s="102">
        <v>0</v>
      </c>
      <c r="H13" s="21">
        <f aca="true" t="shared" si="0" ref="H13:H18">F13*AO13</f>
        <v>0</v>
      </c>
      <c r="I13" s="21">
        <f aca="true" t="shared" si="1" ref="I13:I18">F13*AP13</f>
        <v>0</v>
      </c>
      <c r="J13" s="21">
        <f aca="true" t="shared" si="2" ref="J13:J18">F13*G13</f>
        <v>0</v>
      </c>
      <c r="K13" s="21">
        <v>0.01333</v>
      </c>
      <c r="L13" s="21">
        <f aca="true" t="shared" si="3" ref="L13:L18">F13*K13</f>
        <v>0.7696742</v>
      </c>
      <c r="M13" s="35" t="s">
        <v>206</v>
      </c>
      <c r="N13" s="39"/>
      <c r="Z13" s="41">
        <f aca="true" t="shared" si="4" ref="Z13:Z18">IF(AQ13="5",BJ13,0)</f>
        <v>0</v>
      </c>
      <c r="AB13" s="41">
        <f aca="true" t="shared" si="5" ref="AB13:AB18">IF(AQ13="1",BH13,0)</f>
        <v>0</v>
      </c>
      <c r="AC13" s="41">
        <f aca="true" t="shared" si="6" ref="AC13:AC18">IF(AQ13="1",BI13,0)</f>
        <v>0</v>
      </c>
      <c r="AD13" s="41">
        <f aca="true" t="shared" si="7" ref="AD13:AD18">IF(AQ13="7",BH13,0)</f>
        <v>0</v>
      </c>
      <c r="AE13" s="41">
        <f aca="true" t="shared" si="8" ref="AE13:AE18">IF(AQ13="7",BI13,0)</f>
        <v>0</v>
      </c>
      <c r="AF13" s="41">
        <f aca="true" t="shared" si="9" ref="AF13:AF18">IF(AQ13="2",BH13,0)</f>
        <v>0</v>
      </c>
      <c r="AG13" s="41">
        <f aca="true" t="shared" si="10" ref="AG13:AG18">IF(AQ13="2",BI13,0)</f>
        <v>0</v>
      </c>
      <c r="AH13" s="41">
        <f aca="true" t="shared" si="11" ref="AH13:AH18">IF(AQ13="0",BJ13,0)</f>
        <v>0</v>
      </c>
      <c r="AI13" s="31"/>
      <c r="AJ13" s="21">
        <f aca="true" t="shared" si="12" ref="AJ13:AJ18">IF(AN13=0,J13,0)</f>
        <v>0</v>
      </c>
      <c r="AK13" s="21">
        <f aca="true" t="shared" si="13" ref="AK13:AK18">IF(AN13=15,J13,0)</f>
        <v>0</v>
      </c>
      <c r="AL13" s="21">
        <f aca="true" t="shared" si="14" ref="AL13:AL18">IF(AN13=21,J13,0)</f>
        <v>0</v>
      </c>
      <c r="AN13" s="41">
        <v>21</v>
      </c>
      <c r="AO13" s="41">
        <f>G13*0.664729458917836</f>
        <v>0</v>
      </c>
      <c r="AP13" s="41">
        <f>G13*(1-0.664729458917836)</f>
        <v>0</v>
      </c>
      <c r="AQ13" s="42" t="s">
        <v>7</v>
      </c>
      <c r="AV13" s="41">
        <f aca="true" t="shared" si="15" ref="AV13:AV18">AW13+AX13</f>
        <v>0</v>
      </c>
      <c r="AW13" s="41">
        <f aca="true" t="shared" si="16" ref="AW13:AW18">F13*AO13</f>
        <v>0</v>
      </c>
      <c r="AX13" s="41">
        <f aca="true" t="shared" si="17" ref="AX13:AX18">F13*AP13</f>
        <v>0</v>
      </c>
      <c r="AY13" s="44" t="s">
        <v>217</v>
      </c>
      <c r="AZ13" s="44" t="s">
        <v>226</v>
      </c>
      <c r="BA13" s="31" t="s">
        <v>230</v>
      </c>
      <c r="BB13" s="31" t="s">
        <v>231</v>
      </c>
      <c r="BC13" s="41">
        <f aca="true" t="shared" si="18" ref="BC13:BC18">AW13+AX13</f>
        <v>0</v>
      </c>
      <c r="BD13" s="41">
        <f aca="true" t="shared" si="19" ref="BD13:BD18">G13/(100-BE13)*100</f>
        <v>0</v>
      </c>
      <c r="BE13" s="41">
        <v>0</v>
      </c>
      <c r="BF13" s="41">
        <f aca="true" t="shared" si="20" ref="BF13:BF18">L13</f>
        <v>0.7696742</v>
      </c>
      <c r="BH13" s="21">
        <f aca="true" t="shared" si="21" ref="BH13:BH18">F13*AO13</f>
        <v>0</v>
      </c>
      <c r="BI13" s="21">
        <f aca="true" t="shared" si="22" ref="BI13:BI18">F13*AP13</f>
        <v>0</v>
      </c>
      <c r="BJ13" s="21">
        <f aca="true" t="shared" si="23" ref="BJ13:BJ18">F13*G13</f>
        <v>0</v>
      </c>
      <c r="BK13" s="21" t="s">
        <v>242</v>
      </c>
      <c r="BL13" s="41">
        <v>61</v>
      </c>
    </row>
    <row r="14" spans="1:64" ht="12.75">
      <c r="A14" s="4" t="s">
        <v>8</v>
      </c>
      <c r="B14" s="13" t="s">
        <v>59</v>
      </c>
      <c r="C14" s="134" t="s">
        <v>121</v>
      </c>
      <c r="D14" s="135"/>
      <c r="E14" s="13" t="s">
        <v>181</v>
      </c>
      <c r="F14" s="21">
        <v>443.25</v>
      </c>
      <c r="G14" s="102">
        <v>0</v>
      </c>
      <c r="H14" s="21">
        <f t="shared" si="0"/>
        <v>0</v>
      </c>
      <c r="I14" s="21">
        <f t="shared" si="1"/>
        <v>0</v>
      </c>
      <c r="J14" s="21">
        <f t="shared" si="2"/>
        <v>0</v>
      </c>
      <c r="K14" s="21">
        <v>0.00238</v>
      </c>
      <c r="L14" s="21">
        <f t="shared" si="3"/>
        <v>1.0549350000000002</v>
      </c>
      <c r="M14" s="35" t="s">
        <v>206</v>
      </c>
      <c r="N14" s="39"/>
      <c r="Z14" s="41">
        <f t="shared" si="4"/>
        <v>0</v>
      </c>
      <c r="AB14" s="41">
        <f t="shared" si="5"/>
        <v>0</v>
      </c>
      <c r="AC14" s="41">
        <f t="shared" si="6"/>
        <v>0</v>
      </c>
      <c r="AD14" s="41">
        <f t="shared" si="7"/>
        <v>0</v>
      </c>
      <c r="AE14" s="41">
        <f t="shared" si="8"/>
        <v>0</v>
      </c>
      <c r="AF14" s="41">
        <f t="shared" si="9"/>
        <v>0</v>
      </c>
      <c r="AG14" s="41">
        <f t="shared" si="10"/>
        <v>0</v>
      </c>
      <c r="AH14" s="41">
        <f t="shared" si="11"/>
        <v>0</v>
      </c>
      <c r="AI14" s="31"/>
      <c r="AJ14" s="21">
        <f t="shared" si="12"/>
        <v>0</v>
      </c>
      <c r="AK14" s="21">
        <f t="shared" si="13"/>
        <v>0</v>
      </c>
      <c r="AL14" s="21">
        <f t="shared" si="14"/>
        <v>0</v>
      </c>
      <c r="AN14" s="41">
        <v>21</v>
      </c>
      <c r="AO14" s="41">
        <f>G14*0.117519159368044</f>
        <v>0</v>
      </c>
      <c r="AP14" s="41">
        <f>G14*(1-0.117519159368044)</f>
        <v>0</v>
      </c>
      <c r="AQ14" s="42" t="s">
        <v>7</v>
      </c>
      <c r="AV14" s="41">
        <f t="shared" si="15"/>
        <v>0</v>
      </c>
      <c r="AW14" s="41">
        <f t="shared" si="16"/>
        <v>0</v>
      </c>
      <c r="AX14" s="41">
        <f t="shared" si="17"/>
        <v>0</v>
      </c>
      <c r="AY14" s="44" t="s">
        <v>217</v>
      </c>
      <c r="AZ14" s="44" t="s">
        <v>226</v>
      </c>
      <c r="BA14" s="31" t="s">
        <v>230</v>
      </c>
      <c r="BB14" s="31" t="s">
        <v>231</v>
      </c>
      <c r="BC14" s="41">
        <f t="shared" si="18"/>
        <v>0</v>
      </c>
      <c r="BD14" s="41">
        <f t="shared" si="19"/>
        <v>0</v>
      </c>
      <c r="BE14" s="41">
        <v>0</v>
      </c>
      <c r="BF14" s="41">
        <f t="shared" si="20"/>
        <v>1.0549350000000002</v>
      </c>
      <c r="BH14" s="21">
        <f t="shared" si="21"/>
        <v>0</v>
      </c>
      <c r="BI14" s="21">
        <f t="shared" si="22"/>
        <v>0</v>
      </c>
      <c r="BJ14" s="21">
        <f t="shared" si="23"/>
        <v>0</v>
      </c>
      <c r="BK14" s="21" t="s">
        <v>242</v>
      </c>
      <c r="BL14" s="41">
        <v>61</v>
      </c>
    </row>
    <row r="15" spans="1:64" ht="12.75">
      <c r="A15" s="4" t="s">
        <v>9</v>
      </c>
      <c r="B15" s="13" t="s">
        <v>60</v>
      </c>
      <c r="C15" s="134" t="s">
        <v>122</v>
      </c>
      <c r="D15" s="135"/>
      <c r="E15" s="13" t="s">
        <v>180</v>
      </c>
      <c r="F15" s="21">
        <v>322.06</v>
      </c>
      <c r="G15" s="102">
        <v>0</v>
      </c>
      <c r="H15" s="21">
        <f t="shared" si="0"/>
        <v>0</v>
      </c>
      <c r="I15" s="21">
        <f t="shared" si="1"/>
        <v>0</v>
      </c>
      <c r="J15" s="21">
        <f t="shared" si="2"/>
        <v>0</v>
      </c>
      <c r="K15" s="21">
        <v>4E-05</v>
      </c>
      <c r="L15" s="21">
        <f t="shared" si="3"/>
        <v>0.0128824</v>
      </c>
      <c r="M15" s="35" t="s">
        <v>206</v>
      </c>
      <c r="N15" s="39"/>
      <c r="Z15" s="41">
        <f t="shared" si="4"/>
        <v>0</v>
      </c>
      <c r="AB15" s="41">
        <f t="shared" si="5"/>
        <v>0</v>
      </c>
      <c r="AC15" s="41">
        <f t="shared" si="6"/>
        <v>0</v>
      </c>
      <c r="AD15" s="41">
        <f t="shared" si="7"/>
        <v>0</v>
      </c>
      <c r="AE15" s="41">
        <f t="shared" si="8"/>
        <v>0</v>
      </c>
      <c r="AF15" s="41">
        <f t="shared" si="9"/>
        <v>0</v>
      </c>
      <c r="AG15" s="41">
        <f t="shared" si="10"/>
        <v>0</v>
      </c>
      <c r="AH15" s="41">
        <f t="shared" si="11"/>
        <v>0</v>
      </c>
      <c r="AI15" s="31"/>
      <c r="AJ15" s="21">
        <f t="shared" si="12"/>
        <v>0</v>
      </c>
      <c r="AK15" s="21">
        <f t="shared" si="13"/>
        <v>0</v>
      </c>
      <c r="AL15" s="21">
        <f t="shared" si="14"/>
        <v>0</v>
      </c>
      <c r="AN15" s="41">
        <v>21</v>
      </c>
      <c r="AO15" s="41">
        <f>G15*0.291550215935499</f>
        <v>0</v>
      </c>
      <c r="AP15" s="41">
        <f>G15*(1-0.291550215935499)</f>
        <v>0</v>
      </c>
      <c r="AQ15" s="42" t="s">
        <v>7</v>
      </c>
      <c r="AV15" s="41">
        <f t="shared" si="15"/>
        <v>0</v>
      </c>
      <c r="AW15" s="41">
        <f t="shared" si="16"/>
        <v>0</v>
      </c>
      <c r="AX15" s="41">
        <f t="shared" si="17"/>
        <v>0</v>
      </c>
      <c r="AY15" s="44" t="s">
        <v>217</v>
      </c>
      <c r="AZ15" s="44" t="s">
        <v>226</v>
      </c>
      <c r="BA15" s="31" t="s">
        <v>230</v>
      </c>
      <c r="BB15" s="31" t="s">
        <v>231</v>
      </c>
      <c r="BC15" s="41">
        <f t="shared" si="18"/>
        <v>0</v>
      </c>
      <c r="BD15" s="41">
        <f t="shared" si="19"/>
        <v>0</v>
      </c>
      <c r="BE15" s="41">
        <v>0</v>
      </c>
      <c r="BF15" s="41">
        <f t="shared" si="20"/>
        <v>0.0128824</v>
      </c>
      <c r="BH15" s="21">
        <f t="shared" si="21"/>
        <v>0</v>
      </c>
      <c r="BI15" s="21">
        <f t="shared" si="22"/>
        <v>0</v>
      </c>
      <c r="BJ15" s="21">
        <f t="shared" si="23"/>
        <v>0</v>
      </c>
      <c r="BK15" s="21" t="s">
        <v>242</v>
      </c>
      <c r="BL15" s="41">
        <v>61</v>
      </c>
    </row>
    <row r="16" spans="1:64" ht="12.75">
      <c r="A16" s="4" t="s">
        <v>10</v>
      </c>
      <c r="B16" s="13" t="s">
        <v>61</v>
      </c>
      <c r="C16" s="134" t="s">
        <v>123</v>
      </c>
      <c r="D16" s="135"/>
      <c r="E16" s="13" t="s">
        <v>181</v>
      </c>
      <c r="F16" s="21">
        <v>443.25</v>
      </c>
      <c r="G16" s="102">
        <v>0</v>
      </c>
      <c r="H16" s="21">
        <f t="shared" si="0"/>
        <v>0</v>
      </c>
      <c r="I16" s="21">
        <f t="shared" si="1"/>
        <v>0</v>
      </c>
      <c r="J16" s="21">
        <f t="shared" si="2"/>
        <v>0</v>
      </c>
      <c r="K16" s="21">
        <v>0</v>
      </c>
      <c r="L16" s="21">
        <f t="shared" si="3"/>
        <v>0</v>
      </c>
      <c r="M16" s="35" t="s">
        <v>206</v>
      </c>
      <c r="N16" s="39"/>
      <c r="Z16" s="41">
        <f t="shared" si="4"/>
        <v>0</v>
      </c>
      <c r="AB16" s="41">
        <f t="shared" si="5"/>
        <v>0</v>
      </c>
      <c r="AC16" s="41">
        <f t="shared" si="6"/>
        <v>0</v>
      </c>
      <c r="AD16" s="41">
        <f t="shared" si="7"/>
        <v>0</v>
      </c>
      <c r="AE16" s="41">
        <f t="shared" si="8"/>
        <v>0</v>
      </c>
      <c r="AF16" s="41">
        <f t="shared" si="9"/>
        <v>0</v>
      </c>
      <c r="AG16" s="41">
        <f t="shared" si="10"/>
        <v>0</v>
      </c>
      <c r="AH16" s="41">
        <f t="shared" si="11"/>
        <v>0</v>
      </c>
      <c r="AI16" s="31"/>
      <c r="AJ16" s="21">
        <f t="shared" si="12"/>
        <v>0</v>
      </c>
      <c r="AK16" s="21">
        <f t="shared" si="13"/>
        <v>0</v>
      </c>
      <c r="AL16" s="21">
        <f t="shared" si="14"/>
        <v>0</v>
      </c>
      <c r="AN16" s="41">
        <v>21</v>
      </c>
      <c r="AO16" s="41">
        <f>G16*0</f>
        <v>0</v>
      </c>
      <c r="AP16" s="41">
        <f>G16*(1-0)</f>
        <v>0</v>
      </c>
      <c r="AQ16" s="42" t="s">
        <v>7</v>
      </c>
      <c r="AV16" s="41">
        <f t="shared" si="15"/>
        <v>0</v>
      </c>
      <c r="AW16" s="41">
        <f t="shared" si="16"/>
        <v>0</v>
      </c>
      <c r="AX16" s="41">
        <f t="shared" si="17"/>
        <v>0</v>
      </c>
      <c r="AY16" s="44" t="s">
        <v>217</v>
      </c>
      <c r="AZ16" s="44" t="s">
        <v>226</v>
      </c>
      <c r="BA16" s="31" t="s">
        <v>230</v>
      </c>
      <c r="BB16" s="31" t="s">
        <v>231</v>
      </c>
      <c r="BC16" s="41">
        <f t="shared" si="18"/>
        <v>0</v>
      </c>
      <c r="BD16" s="41">
        <f t="shared" si="19"/>
        <v>0</v>
      </c>
      <c r="BE16" s="41">
        <v>0</v>
      </c>
      <c r="BF16" s="41">
        <f t="shared" si="20"/>
        <v>0</v>
      </c>
      <c r="BH16" s="21">
        <f t="shared" si="21"/>
        <v>0</v>
      </c>
      <c r="BI16" s="21">
        <f t="shared" si="22"/>
        <v>0</v>
      </c>
      <c r="BJ16" s="21">
        <f t="shared" si="23"/>
        <v>0</v>
      </c>
      <c r="BK16" s="21" t="s">
        <v>242</v>
      </c>
      <c r="BL16" s="41">
        <v>61</v>
      </c>
    </row>
    <row r="17" spans="1:64" ht="12.75">
      <c r="A17" s="5" t="s">
        <v>11</v>
      </c>
      <c r="B17" s="14" t="s">
        <v>62</v>
      </c>
      <c r="C17" s="136" t="s">
        <v>124</v>
      </c>
      <c r="D17" s="137"/>
      <c r="E17" s="14" t="s">
        <v>181</v>
      </c>
      <c r="F17" s="22">
        <v>487.575</v>
      </c>
      <c r="G17" s="103">
        <v>0</v>
      </c>
      <c r="H17" s="22">
        <f t="shared" si="0"/>
        <v>0</v>
      </c>
      <c r="I17" s="22">
        <f t="shared" si="1"/>
        <v>0</v>
      </c>
      <c r="J17" s="22">
        <f t="shared" si="2"/>
        <v>0</v>
      </c>
      <c r="K17" s="22">
        <v>0.0001</v>
      </c>
      <c r="L17" s="22">
        <f t="shared" si="3"/>
        <v>0.0487575</v>
      </c>
      <c r="M17" s="36" t="s">
        <v>206</v>
      </c>
      <c r="N17" s="39"/>
      <c r="Z17" s="41">
        <f t="shared" si="4"/>
        <v>0</v>
      </c>
      <c r="AB17" s="41">
        <f t="shared" si="5"/>
        <v>0</v>
      </c>
      <c r="AC17" s="41">
        <f t="shared" si="6"/>
        <v>0</v>
      </c>
      <c r="AD17" s="41">
        <f t="shared" si="7"/>
        <v>0</v>
      </c>
      <c r="AE17" s="41">
        <f t="shared" si="8"/>
        <v>0</v>
      </c>
      <c r="AF17" s="41">
        <f t="shared" si="9"/>
        <v>0</v>
      </c>
      <c r="AG17" s="41">
        <f t="shared" si="10"/>
        <v>0</v>
      </c>
      <c r="AH17" s="41">
        <f t="shared" si="11"/>
        <v>0</v>
      </c>
      <c r="AI17" s="31"/>
      <c r="AJ17" s="22">
        <f t="shared" si="12"/>
        <v>0</v>
      </c>
      <c r="AK17" s="22">
        <f t="shared" si="13"/>
        <v>0</v>
      </c>
      <c r="AL17" s="22">
        <f t="shared" si="14"/>
        <v>0</v>
      </c>
      <c r="AN17" s="41">
        <v>21</v>
      </c>
      <c r="AO17" s="41">
        <f>G17*1</f>
        <v>0</v>
      </c>
      <c r="AP17" s="41">
        <f>G17*(1-1)</f>
        <v>0</v>
      </c>
      <c r="AQ17" s="43" t="s">
        <v>7</v>
      </c>
      <c r="AV17" s="41">
        <f t="shared" si="15"/>
        <v>0</v>
      </c>
      <c r="AW17" s="41">
        <f t="shared" si="16"/>
        <v>0</v>
      </c>
      <c r="AX17" s="41">
        <f t="shared" si="17"/>
        <v>0</v>
      </c>
      <c r="AY17" s="44" t="s">
        <v>217</v>
      </c>
      <c r="AZ17" s="44" t="s">
        <v>226</v>
      </c>
      <c r="BA17" s="31" t="s">
        <v>230</v>
      </c>
      <c r="BC17" s="41">
        <f t="shared" si="18"/>
        <v>0</v>
      </c>
      <c r="BD17" s="41">
        <f t="shared" si="19"/>
        <v>0</v>
      </c>
      <c r="BE17" s="41">
        <v>0</v>
      </c>
      <c r="BF17" s="41">
        <f t="shared" si="20"/>
        <v>0.0487575</v>
      </c>
      <c r="BH17" s="22">
        <f t="shared" si="21"/>
        <v>0</v>
      </c>
      <c r="BI17" s="22">
        <f t="shared" si="22"/>
        <v>0</v>
      </c>
      <c r="BJ17" s="22">
        <f t="shared" si="23"/>
        <v>0</v>
      </c>
      <c r="BK17" s="22" t="s">
        <v>243</v>
      </c>
      <c r="BL17" s="41">
        <v>61</v>
      </c>
    </row>
    <row r="18" spans="1:64" ht="12.75">
      <c r="A18" s="4" t="s">
        <v>12</v>
      </c>
      <c r="B18" s="13" t="s">
        <v>63</v>
      </c>
      <c r="C18" s="134" t="s">
        <v>125</v>
      </c>
      <c r="D18" s="135"/>
      <c r="E18" s="13" t="s">
        <v>180</v>
      </c>
      <c r="F18" s="21">
        <v>57.74</v>
      </c>
      <c r="G18" s="102">
        <v>0</v>
      </c>
      <c r="H18" s="21">
        <f t="shared" si="0"/>
        <v>0</v>
      </c>
      <c r="I18" s="21">
        <f t="shared" si="1"/>
        <v>0</v>
      </c>
      <c r="J18" s="21">
        <f t="shared" si="2"/>
        <v>0</v>
      </c>
      <c r="K18" s="21">
        <v>0.00174</v>
      </c>
      <c r="L18" s="21">
        <f t="shared" si="3"/>
        <v>0.1004676</v>
      </c>
      <c r="M18" s="35" t="s">
        <v>206</v>
      </c>
      <c r="N18" s="39"/>
      <c r="Z18" s="41">
        <f t="shared" si="4"/>
        <v>0</v>
      </c>
      <c r="AB18" s="41">
        <f t="shared" si="5"/>
        <v>0</v>
      </c>
      <c r="AC18" s="41">
        <f t="shared" si="6"/>
        <v>0</v>
      </c>
      <c r="AD18" s="41">
        <f t="shared" si="7"/>
        <v>0</v>
      </c>
      <c r="AE18" s="41">
        <f t="shared" si="8"/>
        <v>0</v>
      </c>
      <c r="AF18" s="41">
        <f t="shared" si="9"/>
        <v>0</v>
      </c>
      <c r="AG18" s="41">
        <f t="shared" si="10"/>
        <v>0</v>
      </c>
      <c r="AH18" s="41">
        <f t="shared" si="11"/>
        <v>0</v>
      </c>
      <c r="AI18" s="31"/>
      <c r="AJ18" s="21">
        <f t="shared" si="12"/>
        <v>0</v>
      </c>
      <c r="AK18" s="21">
        <f t="shared" si="13"/>
        <v>0</v>
      </c>
      <c r="AL18" s="21">
        <f t="shared" si="14"/>
        <v>0</v>
      </c>
      <c r="AN18" s="41">
        <v>21</v>
      </c>
      <c r="AO18" s="41">
        <f>G18*0.337368215920371</f>
        <v>0</v>
      </c>
      <c r="AP18" s="41">
        <f>G18*(1-0.337368215920371)</f>
        <v>0</v>
      </c>
      <c r="AQ18" s="42" t="s">
        <v>7</v>
      </c>
      <c r="AV18" s="41">
        <f t="shared" si="15"/>
        <v>0</v>
      </c>
      <c r="AW18" s="41">
        <f t="shared" si="16"/>
        <v>0</v>
      </c>
      <c r="AX18" s="41">
        <f t="shared" si="17"/>
        <v>0</v>
      </c>
      <c r="AY18" s="44" t="s">
        <v>217</v>
      </c>
      <c r="AZ18" s="44" t="s">
        <v>226</v>
      </c>
      <c r="BA18" s="31" t="s">
        <v>230</v>
      </c>
      <c r="BB18" s="31" t="s">
        <v>231</v>
      </c>
      <c r="BC18" s="41">
        <f t="shared" si="18"/>
        <v>0</v>
      </c>
      <c r="BD18" s="41">
        <f t="shared" si="19"/>
        <v>0</v>
      </c>
      <c r="BE18" s="41">
        <v>0</v>
      </c>
      <c r="BF18" s="41">
        <f t="shared" si="20"/>
        <v>0.1004676</v>
      </c>
      <c r="BH18" s="21">
        <f t="shared" si="21"/>
        <v>0</v>
      </c>
      <c r="BI18" s="21">
        <f t="shared" si="22"/>
        <v>0</v>
      </c>
      <c r="BJ18" s="21">
        <f t="shared" si="23"/>
        <v>0</v>
      </c>
      <c r="BK18" s="21" t="s">
        <v>242</v>
      </c>
      <c r="BL18" s="41">
        <v>61</v>
      </c>
    </row>
    <row r="19" spans="1:47" ht="12.75">
      <c r="A19" s="6"/>
      <c r="B19" s="15" t="s">
        <v>64</v>
      </c>
      <c r="C19" s="138" t="s">
        <v>126</v>
      </c>
      <c r="D19" s="139"/>
      <c r="E19" s="19" t="s">
        <v>6</v>
      </c>
      <c r="F19" s="19" t="s">
        <v>6</v>
      </c>
      <c r="G19" s="19" t="s">
        <v>6</v>
      </c>
      <c r="H19" s="47">
        <f>SUM(H20:H24)</f>
        <v>0</v>
      </c>
      <c r="I19" s="47">
        <f>SUM(I20:I24)</f>
        <v>0</v>
      </c>
      <c r="J19" s="47">
        <f>SUM(J20:J24)</f>
        <v>0</v>
      </c>
      <c r="K19" s="31"/>
      <c r="L19" s="47">
        <f>SUM(L20:L24)</f>
        <v>1.7545535499999998</v>
      </c>
      <c r="M19" s="37"/>
      <c r="N19" s="39"/>
      <c r="AI19" s="31"/>
      <c r="AS19" s="47">
        <f>SUM(AJ20:AJ24)</f>
        <v>0</v>
      </c>
      <c r="AT19" s="47">
        <f>SUM(AK20:AK24)</f>
        <v>0</v>
      </c>
      <c r="AU19" s="47">
        <f>SUM(AL20:AL24)</f>
        <v>0</v>
      </c>
    </row>
    <row r="20" spans="1:64" ht="12.75">
      <c r="A20" s="4" t="s">
        <v>13</v>
      </c>
      <c r="B20" s="13" t="s">
        <v>65</v>
      </c>
      <c r="C20" s="134" t="s">
        <v>127</v>
      </c>
      <c r="D20" s="135"/>
      <c r="E20" s="13" t="s">
        <v>180</v>
      </c>
      <c r="F20" s="21">
        <v>44.325</v>
      </c>
      <c r="G20" s="102">
        <v>0</v>
      </c>
      <c r="H20" s="21">
        <f>F20*AO20</f>
        <v>0</v>
      </c>
      <c r="I20" s="21">
        <f>F20*AP20</f>
        <v>0</v>
      </c>
      <c r="J20" s="21">
        <f>F20*G20</f>
        <v>0</v>
      </c>
      <c r="K20" s="21">
        <v>0.03575</v>
      </c>
      <c r="L20" s="21">
        <f>F20*K20</f>
        <v>1.58461875</v>
      </c>
      <c r="M20" s="35" t="s">
        <v>206</v>
      </c>
      <c r="N20" s="39"/>
      <c r="Z20" s="41">
        <f>IF(AQ20="5",BJ20,0)</f>
        <v>0</v>
      </c>
      <c r="AB20" s="41">
        <f>IF(AQ20="1",BH20,0)</f>
        <v>0</v>
      </c>
      <c r="AC20" s="41">
        <f>IF(AQ20="1",BI20,0)</f>
        <v>0</v>
      </c>
      <c r="AD20" s="41">
        <f>IF(AQ20="7",BH20,0)</f>
        <v>0</v>
      </c>
      <c r="AE20" s="41">
        <f>IF(AQ20="7",BI20,0)</f>
        <v>0</v>
      </c>
      <c r="AF20" s="41">
        <f>IF(AQ20="2",BH20,0)</f>
        <v>0</v>
      </c>
      <c r="AG20" s="41">
        <f>IF(AQ20="2",BI20,0)</f>
        <v>0</v>
      </c>
      <c r="AH20" s="41">
        <f>IF(AQ20="0",BJ20,0)</f>
        <v>0</v>
      </c>
      <c r="AI20" s="31"/>
      <c r="AJ20" s="21">
        <f>IF(AN20=0,J20,0)</f>
        <v>0</v>
      </c>
      <c r="AK20" s="21">
        <f>IF(AN20=15,J20,0)</f>
        <v>0</v>
      </c>
      <c r="AL20" s="21">
        <f>IF(AN20=21,J20,0)</f>
        <v>0</v>
      </c>
      <c r="AN20" s="41">
        <v>21</v>
      </c>
      <c r="AO20" s="41">
        <f>G20*0.317586805555556</f>
        <v>0</v>
      </c>
      <c r="AP20" s="41">
        <f>G20*(1-0.317586805555556)</f>
        <v>0</v>
      </c>
      <c r="AQ20" s="42" t="s">
        <v>7</v>
      </c>
      <c r="AV20" s="41">
        <f>AW20+AX20</f>
        <v>0</v>
      </c>
      <c r="AW20" s="41">
        <f>F20*AO20</f>
        <v>0</v>
      </c>
      <c r="AX20" s="41">
        <f>F20*AP20</f>
        <v>0</v>
      </c>
      <c r="AY20" s="44" t="s">
        <v>218</v>
      </c>
      <c r="AZ20" s="44" t="s">
        <v>226</v>
      </c>
      <c r="BA20" s="31" t="s">
        <v>230</v>
      </c>
      <c r="BB20" s="31" t="s">
        <v>232</v>
      </c>
      <c r="BC20" s="41">
        <f>AW20+AX20</f>
        <v>0</v>
      </c>
      <c r="BD20" s="41">
        <f>G20/(100-BE20)*100</f>
        <v>0</v>
      </c>
      <c r="BE20" s="41">
        <v>0</v>
      </c>
      <c r="BF20" s="41">
        <f>L20</f>
        <v>1.58461875</v>
      </c>
      <c r="BH20" s="21">
        <f>F20*AO20</f>
        <v>0</v>
      </c>
      <c r="BI20" s="21">
        <f>F20*AP20</f>
        <v>0</v>
      </c>
      <c r="BJ20" s="21">
        <f>F20*G20</f>
        <v>0</v>
      </c>
      <c r="BK20" s="21" t="s">
        <v>242</v>
      </c>
      <c r="BL20" s="41">
        <v>62</v>
      </c>
    </row>
    <row r="21" spans="1:64" ht="12.75">
      <c r="A21" s="4" t="s">
        <v>14</v>
      </c>
      <c r="B21" s="13" t="s">
        <v>66</v>
      </c>
      <c r="C21" s="134" t="s">
        <v>128</v>
      </c>
      <c r="D21" s="135"/>
      <c r="E21" s="13" t="s">
        <v>180</v>
      </c>
      <c r="F21" s="21">
        <v>146.39</v>
      </c>
      <c r="G21" s="102">
        <v>0</v>
      </c>
      <c r="H21" s="21">
        <f>F21*AO21</f>
        <v>0</v>
      </c>
      <c r="I21" s="21">
        <f>F21*AP21</f>
        <v>0</v>
      </c>
      <c r="J21" s="21">
        <f>F21*G21</f>
        <v>0</v>
      </c>
      <c r="K21" s="21">
        <v>0.00072</v>
      </c>
      <c r="L21" s="21">
        <f>F21*K21</f>
        <v>0.1054008</v>
      </c>
      <c r="M21" s="35" t="s">
        <v>206</v>
      </c>
      <c r="N21" s="39"/>
      <c r="Z21" s="41">
        <f>IF(AQ21="5",BJ21,0)</f>
        <v>0</v>
      </c>
      <c r="AB21" s="41">
        <f>IF(AQ21="1",BH21,0)</f>
        <v>0</v>
      </c>
      <c r="AC21" s="41">
        <f>IF(AQ21="1",BI21,0)</f>
        <v>0</v>
      </c>
      <c r="AD21" s="41">
        <f>IF(AQ21="7",BH21,0)</f>
        <v>0</v>
      </c>
      <c r="AE21" s="41">
        <f>IF(AQ21="7",BI21,0)</f>
        <v>0</v>
      </c>
      <c r="AF21" s="41">
        <f>IF(AQ21="2",BH21,0)</f>
        <v>0</v>
      </c>
      <c r="AG21" s="41">
        <f>IF(AQ21="2",BI21,0)</f>
        <v>0</v>
      </c>
      <c r="AH21" s="41">
        <f>IF(AQ21="0",BJ21,0)</f>
        <v>0</v>
      </c>
      <c r="AI21" s="31"/>
      <c r="AJ21" s="21">
        <f>IF(AN21=0,J21,0)</f>
        <v>0</v>
      </c>
      <c r="AK21" s="21">
        <f>IF(AN21=15,J21,0)</f>
        <v>0</v>
      </c>
      <c r="AL21" s="21">
        <f>IF(AN21=21,J21,0)</f>
        <v>0</v>
      </c>
      <c r="AN21" s="41">
        <v>21</v>
      </c>
      <c r="AO21" s="41">
        <f>G21*0.553161504012092</f>
        <v>0</v>
      </c>
      <c r="AP21" s="41">
        <f>G21*(1-0.553161504012092)</f>
        <v>0</v>
      </c>
      <c r="AQ21" s="42" t="s">
        <v>7</v>
      </c>
      <c r="AV21" s="41">
        <f>AW21+AX21</f>
        <v>0</v>
      </c>
      <c r="AW21" s="41">
        <f>F21*AO21</f>
        <v>0</v>
      </c>
      <c r="AX21" s="41">
        <f>F21*AP21</f>
        <v>0</v>
      </c>
      <c r="AY21" s="44" t="s">
        <v>218</v>
      </c>
      <c r="AZ21" s="44" t="s">
        <v>226</v>
      </c>
      <c r="BA21" s="31" t="s">
        <v>230</v>
      </c>
      <c r="BB21" s="31" t="s">
        <v>232</v>
      </c>
      <c r="BC21" s="41">
        <f>AW21+AX21</f>
        <v>0</v>
      </c>
      <c r="BD21" s="41">
        <f>G21/(100-BE21)*100</f>
        <v>0</v>
      </c>
      <c r="BE21" s="41">
        <v>0</v>
      </c>
      <c r="BF21" s="41">
        <f>L21</f>
        <v>0.1054008</v>
      </c>
      <c r="BH21" s="21">
        <f>F21*AO21</f>
        <v>0</v>
      </c>
      <c r="BI21" s="21">
        <f>F21*AP21</f>
        <v>0</v>
      </c>
      <c r="BJ21" s="21">
        <f>F21*G21</f>
        <v>0</v>
      </c>
      <c r="BK21" s="21" t="s">
        <v>242</v>
      </c>
      <c r="BL21" s="41">
        <v>62</v>
      </c>
    </row>
    <row r="22" spans="1:64" ht="12.75">
      <c r="A22" s="4" t="s">
        <v>15</v>
      </c>
      <c r="B22" s="13" t="s">
        <v>67</v>
      </c>
      <c r="C22" s="134" t="s">
        <v>129</v>
      </c>
      <c r="D22" s="135"/>
      <c r="E22" s="13" t="s">
        <v>180</v>
      </c>
      <c r="F22" s="21">
        <v>57.74</v>
      </c>
      <c r="G22" s="102">
        <v>0</v>
      </c>
      <c r="H22" s="21">
        <f>F22*AO22</f>
        <v>0</v>
      </c>
      <c r="I22" s="21">
        <f>F22*AP22</f>
        <v>0</v>
      </c>
      <c r="J22" s="21">
        <f>F22*G22</f>
        <v>0</v>
      </c>
      <c r="K22" s="21">
        <v>0.00035</v>
      </c>
      <c r="L22" s="21">
        <f>F22*K22</f>
        <v>0.020209</v>
      </c>
      <c r="M22" s="35" t="s">
        <v>206</v>
      </c>
      <c r="N22" s="39"/>
      <c r="Z22" s="41">
        <f>IF(AQ22="5",BJ22,0)</f>
        <v>0</v>
      </c>
      <c r="AB22" s="41">
        <f>IF(AQ22="1",BH22,0)</f>
        <v>0</v>
      </c>
      <c r="AC22" s="41">
        <f>IF(AQ22="1",BI22,0)</f>
        <v>0</v>
      </c>
      <c r="AD22" s="41">
        <f>IF(AQ22="7",BH22,0)</f>
        <v>0</v>
      </c>
      <c r="AE22" s="41">
        <f>IF(AQ22="7",BI22,0)</f>
        <v>0</v>
      </c>
      <c r="AF22" s="41">
        <f>IF(AQ22="2",BH22,0)</f>
        <v>0</v>
      </c>
      <c r="AG22" s="41">
        <f>IF(AQ22="2",BI22,0)</f>
        <v>0</v>
      </c>
      <c r="AH22" s="41">
        <f>IF(AQ22="0",BJ22,0)</f>
        <v>0</v>
      </c>
      <c r="AI22" s="31"/>
      <c r="AJ22" s="21">
        <f>IF(AN22=0,J22,0)</f>
        <v>0</v>
      </c>
      <c r="AK22" s="21">
        <f>IF(AN22=15,J22,0)</f>
        <v>0</v>
      </c>
      <c r="AL22" s="21">
        <f>IF(AN22=21,J22,0)</f>
        <v>0</v>
      </c>
      <c r="AN22" s="41">
        <v>21</v>
      </c>
      <c r="AO22" s="41">
        <f>G22*0.429208724745054</f>
        <v>0</v>
      </c>
      <c r="AP22" s="41">
        <f>G22*(1-0.429208724745054)</f>
        <v>0</v>
      </c>
      <c r="AQ22" s="42" t="s">
        <v>7</v>
      </c>
      <c r="AV22" s="41">
        <f>AW22+AX22</f>
        <v>0</v>
      </c>
      <c r="AW22" s="41">
        <f>F22*AO22</f>
        <v>0</v>
      </c>
      <c r="AX22" s="41">
        <f>F22*AP22</f>
        <v>0</v>
      </c>
      <c r="AY22" s="44" t="s">
        <v>218</v>
      </c>
      <c r="AZ22" s="44" t="s">
        <v>226</v>
      </c>
      <c r="BA22" s="31" t="s">
        <v>230</v>
      </c>
      <c r="BB22" s="31" t="s">
        <v>232</v>
      </c>
      <c r="BC22" s="41">
        <f>AW22+AX22</f>
        <v>0</v>
      </c>
      <c r="BD22" s="41">
        <f>G22/(100-BE22)*100</f>
        <v>0</v>
      </c>
      <c r="BE22" s="41">
        <v>0</v>
      </c>
      <c r="BF22" s="41">
        <f>L22</f>
        <v>0.020209</v>
      </c>
      <c r="BH22" s="21">
        <f>F22*AO22</f>
        <v>0</v>
      </c>
      <c r="BI22" s="21">
        <f>F22*AP22</f>
        <v>0</v>
      </c>
      <c r="BJ22" s="21">
        <f>F22*G22</f>
        <v>0</v>
      </c>
      <c r="BK22" s="21" t="s">
        <v>242</v>
      </c>
      <c r="BL22" s="41">
        <v>62</v>
      </c>
    </row>
    <row r="23" spans="1:64" ht="12.75">
      <c r="A23" s="4" t="s">
        <v>16</v>
      </c>
      <c r="B23" s="13" t="s">
        <v>68</v>
      </c>
      <c r="C23" s="134" t="s">
        <v>130</v>
      </c>
      <c r="D23" s="135"/>
      <c r="E23" s="13" t="s">
        <v>181</v>
      </c>
      <c r="F23" s="21">
        <v>443.25</v>
      </c>
      <c r="G23" s="102">
        <v>0</v>
      </c>
      <c r="H23" s="21">
        <f>F23*AO23</f>
        <v>0</v>
      </c>
      <c r="I23" s="21">
        <f>F23*AP23</f>
        <v>0</v>
      </c>
      <c r="J23" s="21">
        <f>F23*G23</f>
        <v>0</v>
      </c>
      <c r="K23" s="21">
        <v>0.0001</v>
      </c>
      <c r="L23" s="21">
        <f>F23*K23</f>
        <v>0.044325</v>
      </c>
      <c r="M23" s="35" t="s">
        <v>206</v>
      </c>
      <c r="N23" s="39"/>
      <c r="Z23" s="41">
        <f>IF(AQ23="5",BJ23,0)</f>
        <v>0</v>
      </c>
      <c r="AB23" s="41">
        <f>IF(AQ23="1",BH23,0)</f>
        <v>0</v>
      </c>
      <c r="AC23" s="41">
        <f>IF(AQ23="1",BI23,0)</f>
        <v>0</v>
      </c>
      <c r="AD23" s="41">
        <f>IF(AQ23="7",BH23,0)</f>
        <v>0</v>
      </c>
      <c r="AE23" s="41">
        <f>IF(AQ23="7",BI23,0)</f>
        <v>0</v>
      </c>
      <c r="AF23" s="41">
        <f>IF(AQ23="2",BH23,0)</f>
        <v>0</v>
      </c>
      <c r="AG23" s="41">
        <f>IF(AQ23="2",BI23,0)</f>
        <v>0</v>
      </c>
      <c r="AH23" s="41">
        <f>IF(AQ23="0",BJ23,0)</f>
        <v>0</v>
      </c>
      <c r="AI23" s="31"/>
      <c r="AJ23" s="21">
        <f>IF(AN23=0,J23,0)</f>
        <v>0</v>
      </c>
      <c r="AK23" s="21">
        <f>IF(AN23=15,J23,0)</f>
        <v>0</v>
      </c>
      <c r="AL23" s="21">
        <f>IF(AN23=21,J23,0)</f>
        <v>0</v>
      </c>
      <c r="AN23" s="41">
        <v>21</v>
      </c>
      <c r="AO23" s="41">
        <f>G23*0.23328901905931</f>
        <v>0</v>
      </c>
      <c r="AP23" s="41">
        <f>G23*(1-0.23328901905931)</f>
        <v>0</v>
      </c>
      <c r="AQ23" s="42" t="s">
        <v>7</v>
      </c>
      <c r="AV23" s="41">
        <f>AW23+AX23</f>
        <v>0</v>
      </c>
      <c r="AW23" s="41">
        <f>F23*AO23</f>
        <v>0</v>
      </c>
      <c r="AX23" s="41">
        <f>F23*AP23</f>
        <v>0</v>
      </c>
      <c r="AY23" s="44" t="s">
        <v>218</v>
      </c>
      <c r="AZ23" s="44" t="s">
        <v>226</v>
      </c>
      <c r="BA23" s="31" t="s">
        <v>230</v>
      </c>
      <c r="BB23" s="31" t="s">
        <v>232</v>
      </c>
      <c r="BC23" s="41">
        <f>AW23+AX23</f>
        <v>0</v>
      </c>
      <c r="BD23" s="41">
        <f>G23/(100-BE23)*100</f>
        <v>0</v>
      </c>
      <c r="BE23" s="41">
        <v>0</v>
      </c>
      <c r="BF23" s="41">
        <f>L23</f>
        <v>0.044325</v>
      </c>
      <c r="BH23" s="21">
        <f>F23*AO23</f>
        <v>0</v>
      </c>
      <c r="BI23" s="21">
        <f>F23*AP23</f>
        <v>0</v>
      </c>
      <c r="BJ23" s="21">
        <f>F23*G23</f>
        <v>0</v>
      </c>
      <c r="BK23" s="21" t="s">
        <v>242</v>
      </c>
      <c r="BL23" s="41">
        <v>62</v>
      </c>
    </row>
    <row r="24" spans="1:64" ht="12.75">
      <c r="A24" s="4" t="s">
        <v>17</v>
      </c>
      <c r="B24" s="13" t="s">
        <v>69</v>
      </c>
      <c r="C24" s="134" t="s">
        <v>131</v>
      </c>
      <c r="D24" s="135"/>
      <c r="E24" s="13" t="s">
        <v>182</v>
      </c>
      <c r="F24" s="21">
        <v>3.74127</v>
      </c>
      <c r="G24" s="102">
        <v>0</v>
      </c>
      <c r="H24" s="21">
        <f>F24*AO24</f>
        <v>0</v>
      </c>
      <c r="I24" s="21">
        <f>F24*AP24</f>
        <v>0</v>
      </c>
      <c r="J24" s="21">
        <f>F24*G24</f>
        <v>0</v>
      </c>
      <c r="K24" s="21">
        <v>0</v>
      </c>
      <c r="L24" s="21">
        <f>F24*K24</f>
        <v>0</v>
      </c>
      <c r="M24" s="35" t="s">
        <v>206</v>
      </c>
      <c r="N24" s="39"/>
      <c r="Z24" s="41">
        <f>IF(AQ24="5",BJ24,0)</f>
        <v>0</v>
      </c>
      <c r="AB24" s="41">
        <f>IF(AQ24="1",BH24,0)</f>
        <v>0</v>
      </c>
      <c r="AC24" s="41">
        <f>IF(AQ24="1",BI24,0)</f>
        <v>0</v>
      </c>
      <c r="AD24" s="41">
        <f>IF(AQ24="7",BH24,0)</f>
        <v>0</v>
      </c>
      <c r="AE24" s="41">
        <f>IF(AQ24="7",BI24,0)</f>
        <v>0</v>
      </c>
      <c r="AF24" s="41">
        <f>IF(AQ24="2",BH24,0)</f>
        <v>0</v>
      </c>
      <c r="AG24" s="41">
        <f>IF(AQ24="2",BI24,0)</f>
        <v>0</v>
      </c>
      <c r="AH24" s="41">
        <f>IF(AQ24="0",BJ24,0)</f>
        <v>0</v>
      </c>
      <c r="AI24" s="31"/>
      <c r="AJ24" s="21">
        <f>IF(AN24=0,J24,0)</f>
        <v>0</v>
      </c>
      <c r="AK24" s="21">
        <f>IF(AN24=15,J24,0)</f>
        <v>0</v>
      </c>
      <c r="AL24" s="21">
        <f>IF(AN24=21,J24,0)</f>
        <v>0</v>
      </c>
      <c r="AN24" s="41">
        <v>21</v>
      </c>
      <c r="AO24" s="41">
        <f>G24*0</f>
        <v>0</v>
      </c>
      <c r="AP24" s="41">
        <f>G24*(1-0)</f>
        <v>0</v>
      </c>
      <c r="AQ24" s="42" t="s">
        <v>11</v>
      </c>
      <c r="AV24" s="41">
        <f>AW24+AX24</f>
        <v>0</v>
      </c>
      <c r="AW24" s="41">
        <f>F24*AO24</f>
        <v>0</v>
      </c>
      <c r="AX24" s="41">
        <f>F24*AP24</f>
        <v>0</v>
      </c>
      <c r="AY24" s="44" t="s">
        <v>218</v>
      </c>
      <c r="AZ24" s="44" t="s">
        <v>226</v>
      </c>
      <c r="BA24" s="31" t="s">
        <v>230</v>
      </c>
      <c r="BC24" s="41">
        <f>AW24+AX24</f>
        <v>0</v>
      </c>
      <c r="BD24" s="41">
        <f>G24/(100-BE24)*100</f>
        <v>0</v>
      </c>
      <c r="BE24" s="41">
        <v>0</v>
      </c>
      <c r="BF24" s="41">
        <f>L24</f>
        <v>0</v>
      </c>
      <c r="BH24" s="21">
        <f>F24*AO24</f>
        <v>0</v>
      </c>
      <c r="BI24" s="21">
        <f>F24*AP24</f>
        <v>0</v>
      </c>
      <c r="BJ24" s="21">
        <f>F24*G24</f>
        <v>0</v>
      </c>
      <c r="BK24" s="21" t="s">
        <v>242</v>
      </c>
      <c r="BL24" s="41">
        <v>62</v>
      </c>
    </row>
    <row r="25" spans="1:47" ht="12.75">
      <c r="A25" s="6"/>
      <c r="B25" s="15" t="s">
        <v>70</v>
      </c>
      <c r="C25" s="138" t="s">
        <v>132</v>
      </c>
      <c r="D25" s="139"/>
      <c r="E25" s="19" t="s">
        <v>6</v>
      </c>
      <c r="F25" s="19" t="s">
        <v>6</v>
      </c>
      <c r="G25" s="19" t="s">
        <v>6</v>
      </c>
      <c r="H25" s="47">
        <f>SUM(H26:H28)</f>
        <v>0</v>
      </c>
      <c r="I25" s="47">
        <f>SUM(I26:I28)</f>
        <v>0</v>
      </c>
      <c r="J25" s="47">
        <f>SUM(J26:J28)</f>
        <v>0</v>
      </c>
      <c r="K25" s="31"/>
      <c r="L25" s="47">
        <f>SUM(L26:L28)</f>
        <v>0.4229455</v>
      </c>
      <c r="M25" s="37"/>
      <c r="N25" s="39"/>
      <c r="AI25" s="31"/>
      <c r="AS25" s="47">
        <f>SUM(AJ26:AJ28)</f>
        <v>0</v>
      </c>
      <c r="AT25" s="47">
        <f>SUM(AK26:AK28)</f>
        <v>0</v>
      </c>
      <c r="AU25" s="47">
        <f>SUM(AL26:AL28)</f>
        <v>0</v>
      </c>
    </row>
    <row r="26" spans="1:64" ht="12.75">
      <c r="A26" s="4" t="s">
        <v>18</v>
      </c>
      <c r="B26" s="13" t="s">
        <v>71</v>
      </c>
      <c r="C26" s="134" t="s">
        <v>133</v>
      </c>
      <c r="D26" s="135"/>
      <c r="E26" s="13" t="s">
        <v>181</v>
      </c>
      <c r="F26" s="21">
        <v>144.35</v>
      </c>
      <c r="G26" s="102">
        <v>0</v>
      </c>
      <c r="H26" s="21">
        <f>F26*AO26</f>
        <v>0</v>
      </c>
      <c r="I26" s="21">
        <f>F26*AP26</f>
        <v>0</v>
      </c>
      <c r="J26" s="21">
        <f>F26*G26</f>
        <v>0</v>
      </c>
      <c r="K26" s="21">
        <v>0.00135</v>
      </c>
      <c r="L26" s="21">
        <f>F26*K26</f>
        <v>0.1948725</v>
      </c>
      <c r="M26" s="35" t="s">
        <v>206</v>
      </c>
      <c r="N26" s="39"/>
      <c r="Z26" s="41">
        <f>IF(AQ26="5",BJ26,0)</f>
        <v>0</v>
      </c>
      <c r="AB26" s="41">
        <f>IF(AQ26="1",BH26,0)</f>
        <v>0</v>
      </c>
      <c r="AC26" s="41">
        <f>IF(AQ26="1",BI26,0)</f>
        <v>0</v>
      </c>
      <c r="AD26" s="41">
        <f>IF(AQ26="7",BH26,0)</f>
        <v>0</v>
      </c>
      <c r="AE26" s="41">
        <f>IF(AQ26="7",BI26,0)</f>
        <v>0</v>
      </c>
      <c r="AF26" s="41">
        <f>IF(AQ26="2",BH26,0)</f>
        <v>0</v>
      </c>
      <c r="AG26" s="41">
        <f>IF(AQ26="2",BI26,0)</f>
        <v>0</v>
      </c>
      <c r="AH26" s="41">
        <f>IF(AQ26="0",BJ26,0)</f>
        <v>0</v>
      </c>
      <c r="AI26" s="31"/>
      <c r="AJ26" s="21">
        <f>IF(AN26=0,J26,0)</f>
        <v>0</v>
      </c>
      <c r="AK26" s="21">
        <f>IF(AN26=15,J26,0)</f>
        <v>0</v>
      </c>
      <c r="AL26" s="21">
        <f>IF(AN26=21,J26,0)</f>
        <v>0</v>
      </c>
      <c r="AN26" s="41">
        <v>21</v>
      </c>
      <c r="AO26" s="41">
        <f>G26*0</f>
        <v>0</v>
      </c>
      <c r="AP26" s="41">
        <f>G26*(1-0)</f>
        <v>0</v>
      </c>
      <c r="AQ26" s="42" t="s">
        <v>13</v>
      </c>
      <c r="AV26" s="41">
        <f>AW26+AX26</f>
        <v>0</v>
      </c>
      <c r="AW26" s="41">
        <f>F26*AO26</f>
        <v>0</v>
      </c>
      <c r="AX26" s="41">
        <f>F26*AP26</f>
        <v>0</v>
      </c>
      <c r="AY26" s="44" t="s">
        <v>219</v>
      </c>
      <c r="AZ26" s="44" t="s">
        <v>227</v>
      </c>
      <c r="BA26" s="31" t="s">
        <v>230</v>
      </c>
      <c r="BC26" s="41">
        <f>AW26+AX26</f>
        <v>0</v>
      </c>
      <c r="BD26" s="41">
        <f>G26/(100-BE26)*100</f>
        <v>0</v>
      </c>
      <c r="BE26" s="41">
        <v>0</v>
      </c>
      <c r="BF26" s="41">
        <f>L26</f>
        <v>0.1948725</v>
      </c>
      <c r="BH26" s="21">
        <f>F26*AO26</f>
        <v>0</v>
      </c>
      <c r="BI26" s="21">
        <f>F26*AP26</f>
        <v>0</v>
      </c>
      <c r="BJ26" s="21">
        <f>F26*G26</f>
        <v>0</v>
      </c>
      <c r="BK26" s="21" t="s">
        <v>242</v>
      </c>
      <c r="BL26" s="41">
        <v>764</v>
      </c>
    </row>
    <row r="27" spans="1:64" ht="12.75">
      <c r="A27" s="4" t="s">
        <v>19</v>
      </c>
      <c r="B27" s="13" t="s">
        <v>72</v>
      </c>
      <c r="C27" s="134" t="s">
        <v>134</v>
      </c>
      <c r="D27" s="135"/>
      <c r="E27" s="13" t="s">
        <v>181</v>
      </c>
      <c r="F27" s="21">
        <v>144.35</v>
      </c>
      <c r="G27" s="102">
        <v>0</v>
      </c>
      <c r="H27" s="21">
        <f>F27*AO27</f>
        <v>0</v>
      </c>
      <c r="I27" s="21">
        <f>F27*AP27</f>
        <v>0</v>
      </c>
      <c r="J27" s="21">
        <f>F27*G27</f>
        <v>0</v>
      </c>
      <c r="K27" s="21">
        <v>0.00158</v>
      </c>
      <c r="L27" s="21">
        <f>F27*K27</f>
        <v>0.228073</v>
      </c>
      <c r="M27" s="35" t="s">
        <v>206</v>
      </c>
      <c r="N27" s="39"/>
      <c r="Z27" s="41">
        <f>IF(AQ27="5",BJ27,0)</f>
        <v>0</v>
      </c>
      <c r="AB27" s="41">
        <f>IF(AQ27="1",BH27,0)</f>
        <v>0</v>
      </c>
      <c r="AC27" s="41">
        <f>IF(AQ27="1",BI27,0)</f>
        <v>0</v>
      </c>
      <c r="AD27" s="41">
        <f>IF(AQ27="7",BH27,0)</f>
        <v>0</v>
      </c>
      <c r="AE27" s="41">
        <f>IF(AQ27="7",BI27,0)</f>
        <v>0</v>
      </c>
      <c r="AF27" s="41">
        <f>IF(AQ27="2",BH27,0)</f>
        <v>0</v>
      </c>
      <c r="AG27" s="41">
        <f>IF(AQ27="2",BI27,0)</f>
        <v>0</v>
      </c>
      <c r="AH27" s="41">
        <f>IF(AQ27="0",BJ27,0)</f>
        <v>0</v>
      </c>
      <c r="AI27" s="31"/>
      <c r="AJ27" s="21">
        <f>IF(AN27=0,J27,0)</f>
        <v>0</v>
      </c>
      <c r="AK27" s="21">
        <f>IF(AN27=15,J27,0)</f>
        <v>0</v>
      </c>
      <c r="AL27" s="21">
        <f>IF(AN27=21,J27,0)</f>
        <v>0</v>
      </c>
      <c r="AN27" s="41">
        <v>21</v>
      </c>
      <c r="AO27" s="41">
        <f>G27*0.0313293387181158</f>
        <v>0</v>
      </c>
      <c r="AP27" s="41">
        <f>G27*(1-0.0313293387181158)</f>
        <v>0</v>
      </c>
      <c r="AQ27" s="42" t="s">
        <v>13</v>
      </c>
      <c r="AV27" s="41">
        <f>AW27+AX27</f>
        <v>0</v>
      </c>
      <c r="AW27" s="41">
        <f>F27*AO27</f>
        <v>0</v>
      </c>
      <c r="AX27" s="41">
        <f>F27*AP27</f>
        <v>0</v>
      </c>
      <c r="AY27" s="44" t="s">
        <v>219</v>
      </c>
      <c r="AZ27" s="44" t="s">
        <v>227</v>
      </c>
      <c r="BA27" s="31" t="s">
        <v>230</v>
      </c>
      <c r="BC27" s="41">
        <f>AW27+AX27</f>
        <v>0</v>
      </c>
      <c r="BD27" s="41">
        <f>G27/(100-BE27)*100</f>
        <v>0</v>
      </c>
      <c r="BE27" s="41">
        <v>0</v>
      </c>
      <c r="BF27" s="41">
        <f>L27</f>
        <v>0.228073</v>
      </c>
      <c r="BH27" s="21">
        <f>F27*AO27</f>
        <v>0</v>
      </c>
      <c r="BI27" s="21">
        <f>F27*AP27</f>
        <v>0</v>
      </c>
      <c r="BJ27" s="21">
        <f>F27*G27</f>
        <v>0</v>
      </c>
      <c r="BK27" s="21" t="s">
        <v>242</v>
      </c>
      <c r="BL27" s="41">
        <v>764</v>
      </c>
    </row>
    <row r="28" spans="1:64" ht="12.75">
      <c r="A28" s="4" t="s">
        <v>20</v>
      </c>
      <c r="B28" s="13" t="s">
        <v>73</v>
      </c>
      <c r="C28" s="134" t="s">
        <v>135</v>
      </c>
      <c r="D28" s="135"/>
      <c r="E28" s="13" t="s">
        <v>182</v>
      </c>
      <c r="F28" s="21">
        <v>0.42295</v>
      </c>
      <c r="G28" s="102">
        <v>0</v>
      </c>
      <c r="H28" s="21">
        <f>F28*AO28</f>
        <v>0</v>
      </c>
      <c r="I28" s="21">
        <f>F28*AP28</f>
        <v>0</v>
      </c>
      <c r="J28" s="21">
        <f>F28*G28</f>
        <v>0</v>
      </c>
      <c r="K28" s="21">
        <v>0</v>
      </c>
      <c r="L28" s="21">
        <f>F28*K28</f>
        <v>0</v>
      </c>
      <c r="M28" s="35" t="s">
        <v>206</v>
      </c>
      <c r="N28" s="39"/>
      <c r="Z28" s="41">
        <f>IF(AQ28="5",BJ28,0)</f>
        <v>0</v>
      </c>
      <c r="AB28" s="41">
        <f>IF(AQ28="1",BH28,0)</f>
        <v>0</v>
      </c>
      <c r="AC28" s="41">
        <f>IF(AQ28="1",BI28,0)</f>
        <v>0</v>
      </c>
      <c r="AD28" s="41">
        <f>IF(AQ28="7",BH28,0)</f>
        <v>0</v>
      </c>
      <c r="AE28" s="41">
        <f>IF(AQ28="7",BI28,0)</f>
        <v>0</v>
      </c>
      <c r="AF28" s="41">
        <f>IF(AQ28="2",BH28,0)</f>
        <v>0</v>
      </c>
      <c r="AG28" s="41">
        <f>IF(AQ28="2",BI28,0)</f>
        <v>0</v>
      </c>
      <c r="AH28" s="41">
        <f>IF(AQ28="0",BJ28,0)</f>
        <v>0</v>
      </c>
      <c r="AI28" s="31"/>
      <c r="AJ28" s="21">
        <f>IF(AN28=0,J28,0)</f>
        <v>0</v>
      </c>
      <c r="AK28" s="21">
        <f>IF(AN28=15,J28,0)</f>
        <v>0</v>
      </c>
      <c r="AL28" s="21">
        <f>IF(AN28=21,J28,0)</f>
        <v>0</v>
      </c>
      <c r="AN28" s="41">
        <v>21</v>
      </c>
      <c r="AO28" s="41">
        <f>G28*0</f>
        <v>0</v>
      </c>
      <c r="AP28" s="41">
        <f>G28*(1-0)</f>
        <v>0</v>
      </c>
      <c r="AQ28" s="42" t="s">
        <v>11</v>
      </c>
      <c r="AV28" s="41">
        <f>AW28+AX28</f>
        <v>0</v>
      </c>
      <c r="AW28" s="41">
        <f>F28*AO28</f>
        <v>0</v>
      </c>
      <c r="AX28" s="41">
        <f>F28*AP28</f>
        <v>0</v>
      </c>
      <c r="AY28" s="44" t="s">
        <v>219</v>
      </c>
      <c r="AZ28" s="44" t="s">
        <v>227</v>
      </c>
      <c r="BA28" s="31" t="s">
        <v>230</v>
      </c>
      <c r="BC28" s="41">
        <f>AW28+AX28</f>
        <v>0</v>
      </c>
      <c r="BD28" s="41">
        <f>G28/(100-BE28)*100</f>
        <v>0</v>
      </c>
      <c r="BE28" s="41">
        <v>0</v>
      </c>
      <c r="BF28" s="41">
        <f>L28</f>
        <v>0</v>
      </c>
      <c r="BH28" s="21">
        <f>F28*AO28</f>
        <v>0</v>
      </c>
      <c r="BI28" s="21">
        <f>F28*AP28</f>
        <v>0</v>
      </c>
      <c r="BJ28" s="21">
        <f>F28*G28</f>
        <v>0</v>
      </c>
      <c r="BK28" s="21" t="s">
        <v>242</v>
      </c>
      <c r="BL28" s="41">
        <v>764</v>
      </c>
    </row>
    <row r="29" spans="1:47" ht="12.75">
      <c r="A29" s="6"/>
      <c r="B29" s="15" t="s">
        <v>74</v>
      </c>
      <c r="C29" s="138" t="s">
        <v>136</v>
      </c>
      <c r="D29" s="139"/>
      <c r="E29" s="19" t="s">
        <v>6</v>
      </c>
      <c r="F29" s="19" t="s">
        <v>6</v>
      </c>
      <c r="G29" s="19" t="s">
        <v>6</v>
      </c>
      <c r="H29" s="47">
        <f>SUM(H30:H41)</f>
        <v>0</v>
      </c>
      <c r="I29" s="47">
        <f>SUM(I30:I41)</f>
        <v>0</v>
      </c>
      <c r="J29" s="47">
        <f>SUM(J30:J41)</f>
        <v>0</v>
      </c>
      <c r="K29" s="31"/>
      <c r="L29" s="47">
        <f>SUM(L30:L41)</f>
        <v>6.320651475</v>
      </c>
      <c r="M29" s="37"/>
      <c r="N29" s="39"/>
      <c r="AI29" s="31"/>
      <c r="AS29" s="47">
        <f>SUM(AJ30:AJ41)</f>
        <v>0</v>
      </c>
      <c r="AT29" s="47">
        <f>SUM(AK30:AK41)</f>
        <v>0</v>
      </c>
      <c r="AU29" s="47">
        <f>SUM(AL30:AL41)</f>
        <v>0</v>
      </c>
    </row>
    <row r="30" spans="1:64" ht="12.75">
      <c r="A30" s="4" t="s">
        <v>21</v>
      </c>
      <c r="B30" s="13" t="s">
        <v>75</v>
      </c>
      <c r="C30" s="134" t="s">
        <v>137</v>
      </c>
      <c r="D30" s="135"/>
      <c r="E30" s="13" t="s">
        <v>181</v>
      </c>
      <c r="F30" s="21">
        <v>443.25</v>
      </c>
      <c r="G30" s="102">
        <v>0</v>
      </c>
      <c r="H30" s="21">
        <f aca="true" t="shared" si="24" ref="H30:H41">F30*AO30</f>
        <v>0</v>
      </c>
      <c r="I30" s="21">
        <f aca="true" t="shared" si="25" ref="I30:I41">F30*AP30</f>
        <v>0</v>
      </c>
      <c r="J30" s="21">
        <f aca="true" t="shared" si="26" ref="J30:J41">F30*G30</f>
        <v>0</v>
      </c>
      <c r="K30" s="21">
        <v>4E-05</v>
      </c>
      <c r="L30" s="21">
        <f aca="true" t="shared" si="27" ref="L30:L41">F30*K30</f>
        <v>0.017730000000000003</v>
      </c>
      <c r="M30" s="35" t="s">
        <v>206</v>
      </c>
      <c r="N30" s="39"/>
      <c r="Z30" s="41">
        <f aca="true" t="shared" si="28" ref="Z30:Z41">IF(AQ30="5",BJ30,0)</f>
        <v>0</v>
      </c>
      <c r="AB30" s="41">
        <f aca="true" t="shared" si="29" ref="AB30:AB41">IF(AQ30="1",BH30,0)</f>
        <v>0</v>
      </c>
      <c r="AC30" s="41">
        <f aca="true" t="shared" si="30" ref="AC30:AC41">IF(AQ30="1",BI30,0)</f>
        <v>0</v>
      </c>
      <c r="AD30" s="41">
        <f aca="true" t="shared" si="31" ref="AD30:AD41">IF(AQ30="7",BH30,0)</f>
        <v>0</v>
      </c>
      <c r="AE30" s="41">
        <f aca="true" t="shared" si="32" ref="AE30:AE41">IF(AQ30="7",BI30,0)</f>
        <v>0</v>
      </c>
      <c r="AF30" s="41">
        <f aca="true" t="shared" si="33" ref="AF30:AF41">IF(AQ30="2",BH30,0)</f>
        <v>0</v>
      </c>
      <c r="AG30" s="41">
        <f aca="true" t="shared" si="34" ref="AG30:AG41">IF(AQ30="2",BI30,0)</f>
        <v>0</v>
      </c>
      <c r="AH30" s="41">
        <f aca="true" t="shared" si="35" ref="AH30:AH41">IF(AQ30="0",BJ30,0)</f>
        <v>0</v>
      </c>
      <c r="AI30" s="31"/>
      <c r="AJ30" s="21">
        <f aca="true" t="shared" si="36" ref="AJ30:AJ41">IF(AN30=0,J30,0)</f>
        <v>0</v>
      </c>
      <c r="AK30" s="21">
        <f aca="true" t="shared" si="37" ref="AK30:AK41">IF(AN30=15,J30,0)</f>
        <v>0</v>
      </c>
      <c r="AL30" s="21">
        <f aca="true" t="shared" si="38" ref="AL30:AL41">IF(AN30=21,J30,0)</f>
        <v>0</v>
      </c>
      <c r="AN30" s="41">
        <v>21</v>
      </c>
      <c r="AO30" s="41">
        <f>G30*0.302894697211452</f>
        <v>0</v>
      </c>
      <c r="AP30" s="41">
        <f>G30*(1-0.302894697211452)</f>
        <v>0</v>
      </c>
      <c r="AQ30" s="42" t="s">
        <v>13</v>
      </c>
      <c r="AV30" s="41">
        <f aca="true" t="shared" si="39" ref="AV30:AV41">AW30+AX30</f>
        <v>0</v>
      </c>
      <c r="AW30" s="41">
        <f aca="true" t="shared" si="40" ref="AW30:AW41">F30*AO30</f>
        <v>0</v>
      </c>
      <c r="AX30" s="41">
        <f aca="true" t="shared" si="41" ref="AX30:AX41">F30*AP30</f>
        <v>0</v>
      </c>
      <c r="AY30" s="44" t="s">
        <v>220</v>
      </c>
      <c r="AZ30" s="44" t="s">
        <v>227</v>
      </c>
      <c r="BA30" s="31" t="s">
        <v>230</v>
      </c>
      <c r="BB30" s="31" t="s">
        <v>233</v>
      </c>
      <c r="BC30" s="41">
        <f aca="true" t="shared" si="42" ref="BC30:BC41">AW30+AX30</f>
        <v>0</v>
      </c>
      <c r="BD30" s="41">
        <f aca="true" t="shared" si="43" ref="BD30:BD41">G30/(100-BE30)*100</f>
        <v>0</v>
      </c>
      <c r="BE30" s="41">
        <v>0</v>
      </c>
      <c r="BF30" s="41">
        <f aca="true" t="shared" si="44" ref="BF30:BF41">L30</f>
        <v>0.017730000000000003</v>
      </c>
      <c r="BH30" s="21">
        <f aca="true" t="shared" si="45" ref="BH30:BH41">F30*AO30</f>
        <v>0</v>
      </c>
      <c r="BI30" s="21">
        <f aca="true" t="shared" si="46" ref="BI30:BI41">F30*AP30</f>
        <v>0</v>
      </c>
      <c r="BJ30" s="21">
        <f aca="true" t="shared" si="47" ref="BJ30:BJ41">F30*G30</f>
        <v>0</v>
      </c>
      <c r="BK30" s="21" t="s">
        <v>242</v>
      </c>
      <c r="BL30" s="41">
        <v>766</v>
      </c>
    </row>
    <row r="31" spans="1:64" ht="12.75">
      <c r="A31" s="4" t="s">
        <v>22</v>
      </c>
      <c r="B31" s="13" t="s">
        <v>76</v>
      </c>
      <c r="C31" s="134" t="s">
        <v>138</v>
      </c>
      <c r="D31" s="135"/>
      <c r="E31" s="13" t="s">
        <v>183</v>
      </c>
      <c r="F31" s="21">
        <v>39</v>
      </c>
      <c r="G31" s="102">
        <v>0</v>
      </c>
      <c r="H31" s="21">
        <f t="shared" si="24"/>
        <v>0</v>
      </c>
      <c r="I31" s="21">
        <f t="shared" si="25"/>
        <v>0</v>
      </c>
      <c r="J31" s="21">
        <f t="shared" si="26"/>
        <v>0</v>
      </c>
      <c r="K31" s="21">
        <v>2E-05</v>
      </c>
      <c r="L31" s="21">
        <f t="shared" si="27"/>
        <v>0.0007800000000000001</v>
      </c>
      <c r="M31" s="35" t="s">
        <v>206</v>
      </c>
      <c r="N31" s="39"/>
      <c r="Z31" s="41">
        <f t="shared" si="28"/>
        <v>0</v>
      </c>
      <c r="AB31" s="41">
        <f t="shared" si="29"/>
        <v>0</v>
      </c>
      <c r="AC31" s="41">
        <f t="shared" si="30"/>
        <v>0</v>
      </c>
      <c r="AD31" s="41">
        <f t="shared" si="31"/>
        <v>0</v>
      </c>
      <c r="AE31" s="41">
        <f t="shared" si="32"/>
        <v>0</v>
      </c>
      <c r="AF31" s="41">
        <f t="shared" si="33"/>
        <v>0</v>
      </c>
      <c r="AG31" s="41">
        <f t="shared" si="34"/>
        <v>0</v>
      </c>
      <c r="AH31" s="41">
        <f t="shared" si="35"/>
        <v>0</v>
      </c>
      <c r="AI31" s="31"/>
      <c r="AJ31" s="21">
        <f t="shared" si="36"/>
        <v>0</v>
      </c>
      <c r="AK31" s="21">
        <f t="shared" si="37"/>
        <v>0</v>
      </c>
      <c r="AL31" s="21">
        <f t="shared" si="38"/>
        <v>0</v>
      </c>
      <c r="AN31" s="41">
        <v>21</v>
      </c>
      <c r="AO31" s="41">
        <f>G31*0.0240854488789373</f>
        <v>0</v>
      </c>
      <c r="AP31" s="41">
        <f>G31*(1-0.0240854488789373)</f>
        <v>0</v>
      </c>
      <c r="AQ31" s="42" t="s">
        <v>13</v>
      </c>
      <c r="AV31" s="41">
        <f t="shared" si="39"/>
        <v>0</v>
      </c>
      <c r="AW31" s="41">
        <f t="shared" si="40"/>
        <v>0</v>
      </c>
      <c r="AX31" s="41">
        <f t="shared" si="41"/>
        <v>0</v>
      </c>
      <c r="AY31" s="44" t="s">
        <v>220</v>
      </c>
      <c r="AZ31" s="44" t="s">
        <v>227</v>
      </c>
      <c r="BA31" s="31" t="s">
        <v>230</v>
      </c>
      <c r="BB31" s="31" t="s">
        <v>233</v>
      </c>
      <c r="BC31" s="41">
        <f t="shared" si="42"/>
        <v>0</v>
      </c>
      <c r="BD31" s="41">
        <f t="shared" si="43"/>
        <v>0</v>
      </c>
      <c r="BE31" s="41">
        <v>0</v>
      </c>
      <c r="BF31" s="41">
        <f t="shared" si="44"/>
        <v>0.0007800000000000001</v>
      </c>
      <c r="BH31" s="21">
        <f t="shared" si="45"/>
        <v>0</v>
      </c>
      <c r="BI31" s="21">
        <f t="shared" si="46"/>
        <v>0</v>
      </c>
      <c r="BJ31" s="21">
        <f t="shared" si="47"/>
        <v>0</v>
      </c>
      <c r="BK31" s="21" t="s">
        <v>242</v>
      </c>
      <c r="BL31" s="41">
        <v>766</v>
      </c>
    </row>
    <row r="32" spans="1:64" ht="12.75">
      <c r="A32" s="4" t="s">
        <v>23</v>
      </c>
      <c r="B32" s="13" t="s">
        <v>77</v>
      </c>
      <c r="C32" s="134" t="s">
        <v>139</v>
      </c>
      <c r="D32" s="135"/>
      <c r="E32" s="13" t="s">
        <v>182</v>
      </c>
      <c r="F32" s="21">
        <v>6.32065</v>
      </c>
      <c r="G32" s="102">
        <v>0</v>
      </c>
      <c r="H32" s="21">
        <f t="shared" si="24"/>
        <v>0</v>
      </c>
      <c r="I32" s="21">
        <f t="shared" si="25"/>
        <v>0</v>
      </c>
      <c r="J32" s="21">
        <f t="shared" si="26"/>
        <v>0</v>
      </c>
      <c r="K32" s="21">
        <v>0</v>
      </c>
      <c r="L32" s="21">
        <f t="shared" si="27"/>
        <v>0</v>
      </c>
      <c r="M32" s="35" t="s">
        <v>206</v>
      </c>
      <c r="N32" s="39"/>
      <c r="Z32" s="41">
        <f t="shared" si="28"/>
        <v>0</v>
      </c>
      <c r="AB32" s="41">
        <f t="shared" si="29"/>
        <v>0</v>
      </c>
      <c r="AC32" s="41">
        <f t="shared" si="30"/>
        <v>0</v>
      </c>
      <c r="AD32" s="41">
        <f t="shared" si="31"/>
        <v>0</v>
      </c>
      <c r="AE32" s="41">
        <f t="shared" si="32"/>
        <v>0</v>
      </c>
      <c r="AF32" s="41">
        <f t="shared" si="33"/>
        <v>0</v>
      </c>
      <c r="AG32" s="41">
        <f t="shared" si="34"/>
        <v>0</v>
      </c>
      <c r="AH32" s="41">
        <f t="shared" si="35"/>
        <v>0</v>
      </c>
      <c r="AI32" s="31"/>
      <c r="AJ32" s="21">
        <f t="shared" si="36"/>
        <v>0</v>
      </c>
      <c r="AK32" s="21">
        <f t="shared" si="37"/>
        <v>0</v>
      </c>
      <c r="AL32" s="21">
        <f t="shared" si="38"/>
        <v>0</v>
      </c>
      <c r="AN32" s="41">
        <v>21</v>
      </c>
      <c r="AO32" s="41">
        <f>G32*0</f>
        <v>0</v>
      </c>
      <c r="AP32" s="41">
        <f>G32*(1-0)</f>
        <v>0</v>
      </c>
      <c r="AQ32" s="42" t="s">
        <v>11</v>
      </c>
      <c r="AV32" s="41">
        <f t="shared" si="39"/>
        <v>0</v>
      </c>
      <c r="AW32" s="41">
        <f t="shared" si="40"/>
        <v>0</v>
      </c>
      <c r="AX32" s="41">
        <f t="shared" si="41"/>
        <v>0</v>
      </c>
      <c r="AY32" s="44" t="s">
        <v>220</v>
      </c>
      <c r="AZ32" s="44" t="s">
        <v>227</v>
      </c>
      <c r="BA32" s="31" t="s">
        <v>230</v>
      </c>
      <c r="BC32" s="41">
        <f t="shared" si="42"/>
        <v>0</v>
      </c>
      <c r="BD32" s="41">
        <f t="shared" si="43"/>
        <v>0</v>
      </c>
      <c r="BE32" s="41">
        <v>0</v>
      </c>
      <c r="BF32" s="41">
        <f t="shared" si="44"/>
        <v>0</v>
      </c>
      <c r="BH32" s="21">
        <f t="shared" si="45"/>
        <v>0</v>
      </c>
      <c r="BI32" s="21">
        <f t="shared" si="46"/>
        <v>0</v>
      </c>
      <c r="BJ32" s="21">
        <f t="shared" si="47"/>
        <v>0</v>
      </c>
      <c r="BK32" s="21" t="s">
        <v>242</v>
      </c>
      <c r="BL32" s="41">
        <v>766</v>
      </c>
    </row>
    <row r="33" spans="1:64" ht="12.75">
      <c r="A33" s="5" t="s">
        <v>24</v>
      </c>
      <c r="B33" s="14" t="s">
        <v>78</v>
      </c>
      <c r="C33" s="136" t="s">
        <v>140</v>
      </c>
      <c r="D33" s="137"/>
      <c r="E33" s="14" t="s">
        <v>181</v>
      </c>
      <c r="F33" s="22">
        <v>90.3825</v>
      </c>
      <c r="G33" s="103">
        <v>0</v>
      </c>
      <c r="H33" s="22">
        <f t="shared" si="24"/>
        <v>0</v>
      </c>
      <c r="I33" s="22">
        <f t="shared" si="25"/>
        <v>0</v>
      </c>
      <c r="J33" s="22">
        <f t="shared" si="26"/>
        <v>0</v>
      </c>
      <c r="K33" s="22">
        <v>0.00243</v>
      </c>
      <c r="L33" s="22">
        <f t="shared" si="27"/>
        <v>0.21962947499999996</v>
      </c>
      <c r="M33" s="36" t="s">
        <v>206</v>
      </c>
      <c r="N33" s="39"/>
      <c r="Z33" s="41">
        <f t="shared" si="28"/>
        <v>0</v>
      </c>
      <c r="AB33" s="41">
        <f t="shared" si="29"/>
        <v>0</v>
      </c>
      <c r="AC33" s="41">
        <f t="shared" si="30"/>
        <v>0</v>
      </c>
      <c r="AD33" s="41">
        <f t="shared" si="31"/>
        <v>0</v>
      </c>
      <c r="AE33" s="41">
        <f t="shared" si="32"/>
        <v>0</v>
      </c>
      <c r="AF33" s="41">
        <f t="shared" si="33"/>
        <v>0</v>
      </c>
      <c r="AG33" s="41">
        <f t="shared" si="34"/>
        <v>0</v>
      </c>
      <c r="AH33" s="41">
        <f t="shared" si="35"/>
        <v>0</v>
      </c>
      <c r="AI33" s="31"/>
      <c r="AJ33" s="22">
        <f t="shared" si="36"/>
        <v>0</v>
      </c>
      <c r="AK33" s="22">
        <f t="shared" si="37"/>
        <v>0</v>
      </c>
      <c r="AL33" s="22">
        <f t="shared" si="38"/>
        <v>0</v>
      </c>
      <c r="AN33" s="41">
        <v>21</v>
      </c>
      <c r="AO33" s="41">
        <f>G33*1</f>
        <v>0</v>
      </c>
      <c r="AP33" s="41">
        <f>G33*(1-1)</f>
        <v>0</v>
      </c>
      <c r="AQ33" s="43" t="s">
        <v>13</v>
      </c>
      <c r="AV33" s="41">
        <f t="shared" si="39"/>
        <v>0</v>
      </c>
      <c r="AW33" s="41">
        <f t="shared" si="40"/>
        <v>0</v>
      </c>
      <c r="AX33" s="41">
        <f t="shared" si="41"/>
        <v>0</v>
      </c>
      <c r="AY33" s="44" t="s">
        <v>220</v>
      </c>
      <c r="AZ33" s="44" t="s">
        <v>227</v>
      </c>
      <c r="BA33" s="31" t="s">
        <v>230</v>
      </c>
      <c r="BC33" s="41">
        <f t="shared" si="42"/>
        <v>0</v>
      </c>
      <c r="BD33" s="41">
        <f t="shared" si="43"/>
        <v>0</v>
      </c>
      <c r="BE33" s="41">
        <v>0</v>
      </c>
      <c r="BF33" s="41">
        <f t="shared" si="44"/>
        <v>0.21962947499999996</v>
      </c>
      <c r="BH33" s="22">
        <f t="shared" si="45"/>
        <v>0</v>
      </c>
      <c r="BI33" s="22">
        <f t="shared" si="46"/>
        <v>0</v>
      </c>
      <c r="BJ33" s="22">
        <f t="shared" si="47"/>
        <v>0</v>
      </c>
      <c r="BK33" s="22" t="s">
        <v>243</v>
      </c>
      <c r="BL33" s="41">
        <v>766</v>
      </c>
    </row>
    <row r="34" spans="1:64" ht="12.75">
      <c r="A34" s="5" t="s">
        <v>25</v>
      </c>
      <c r="B34" s="14" t="s">
        <v>79</v>
      </c>
      <c r="C34" s="136" t="s">
        <v>141</v>
      </c>
      <c r="D34" s="137"/>
      <c r="E34" s="14" t="s">
        <v>183</v>
      </c>
      <c r="F34" s="22">
        <v>78</v>
      </c>
      <c r="G34" s="103">
        <v>0</v>
      </c>
      <c r="H34" s="22">
        <f t="shared" si="24"/>
        <v>0</v>
      </c>
      <c r="I34" s="22">
        <f t="shared" si="25"/>
        <v>0</v>
      </c>
      <c r="J34" s="22">
        <f t="shared" si="26"/>
        <v>0</v>
      </c>
      <c r="K34" s="22">
        <v>2E-05</v>
      </c>
      <c r="L34" s="22">
        <f t="shared" si="27"/>
        <v>0.0015600000000000002</v>
      </c>
      <c r="M34" s="36" t="s">
        <v>206</v>
      </c>
      <c r="N34" s="39"/>
      <c r="Z34" s="41">
        <f t="shared" si="28"/>
        <v>0</v>
      </c>
      <c r="AB34" s="41">
        <f t="shared" si="29"/>
        <v>0</v>
      </c>
      <c r="AC34" s="41">
        <f t="shared" si="30"/>
        <v>0</v>
      </c>
      <c r="AD34" s="41">
        <f t="shared" si="31"/>
        <v>0</v>
      </c>
      <c r="AE34" s="41">
        <f t="shared" si="32"/>
        <v>0</v>
      </c>
      <c r="AF34" s="41">
        <f t="shared" si="33"/>
        <v>0</v>
      </c>
      <c r="AG34" s="41">
        <f t="shared" si="34"/>
        <v>0</v>
      </c>
      <c r="AH34" s="41">
        <f t="shared" si="35"/>
        <v>0</v>
      </c>
      <c r="AI34" s="31"/>
      <c r="AJ34" s="22">
        <f t="shared" si="36"/>
        <v>0</v>
      </c>
      <c r="AK34" s="22">
        <f t="shared" si="37"/>
        <v>0</v>
      </c>
      <c r="AL34" s="22">
        <f t="shared" si="38"/>
        <v>0</v>
      </c>
      <c r="AN34" s="41">
        <v>21</v>
      </c>
      <c r="AO34" s="41">
        <f>G34*1</f>
        <v>0</v>
      </c>
      <c r="AP34" s="41">
        <f>G34*(1-1)</f>
        <v>0</v>
      </c>
      <c r="AQ34" s="43" t="s">
        <v>13</v>
      </c>
      <c r="AV34" s="41">
        <f t="shared" si="39"/>
        <v>0</v>
      </c>
      <c r="AW34" s="41">
        <f t="shared" si="40"/>
        <v>0</v>
      </c>
      <c r="AX34" s="41">
        <f t="shared" si="41"/>
        <v>0</v>
      </c>
      <c r="AY34" s="44" t="s">
        <v>220</v>
      </c>
      <c r="AZ34" s="44" t="s">
        <v>227</v>
      </c>
      <c r="BA34" s="31" t="s">
        <v>230</v>
      </c>
      <c r="BC34" s="41">
        <f t="shared" si="42"/>
        <v>0</v>
      </c>
      <c r="BD34" s="41">
        <f t="shared" si="43"/>
        <v>0</v>
      </c>
      <c r="BE34" s="41">
        <v>0</v>
      </c>
      <c r="BF34" s="41">
        <f t="shared" si="44"/>
        <v>0.0015600000000000002</v>
      </c>
      <c r="BH34" s="22">
        <f t="shared" si="45"/>
        <v>0</v>
      </c>
      <c r="BI34" s="22">
        <f t="shared" si="46"/>
        <v>0</v>
      </c>
      <c r="BJ34" s="22">
        <f t="shared" si="47"/>
        <v>0</v>
      </c>
      <c r="BK34" s="22" t="s">
        <v>243</v>
      </c>
      <c r="BL34" s="41">
        <v>766</v>
      </c>
    </row>
    <row r="35" spans="1:64" ht="12.75">
      <c r="A35" s="5" t="s">
        <v>26</v>
      </c>
      <c r="B35" s="14" t="s">
        <v>80</v>
      </c>
      <c r="C35" s="136" t="s">
        <v>142</v>
      </c>
      <c r="D35" s="137"/>
      <c r="E35" s="14" t="s">
        <v>181</v>
      </c>
      <c r="F35" s="22">
        <v>21.12</v>
      </c>
      <c r="G35" s="103">
        <v>0</v>
      </c>
      <c r="H35" s="22">
        <f t="shared" si="24"/>
        <v>0</v>
      </c>
      <c r="I35" s="22">
        <f t="shared" si="25"/>
        <v>0</v>
      </c>
      <c r="J35" s="22">
        <f t="shared" si="26"/>
        <v>0</v>
      </c>
      <c r="K35" s="22">
        <v>0.0005</v>
      </c>
      <c r="L35" s="22">
        <f t="shared" si="27"/>
        <v>0.01056</v>
      </c>
      <c r="M35" s="36" t="s">
        <v>206</v>
      </c>
      <c r="N35" s="39"/>
      <c r="Z35" s="41">
        <f t="shared" si="28"/>
        <v>0</v>
      </c>
      <c r="AB35" s="41">
        <f t="shared" si="29"/>
        <v>0</v>
      </c>
      <c r="AC35" s="41">
        <f t="shared" si="30"/>
        <v>0</v>
      </c>
      <c r="AD35" s="41">
        <f t="shared" si="31"/>
        <v>0</v>
      </c>
      <c r="AE35" s="41">
        <f t="shared" si="32"/>
        <v>0</v>
      </c>
      <c r="AF35" s="41">
        <f t="shared" si="33"/>
        <v>0</v>
      </c>
      <c r="AG35" s="41">
        <f t="shared" si="34"/>
        <v>0</v>
      </c>
      <c r="AH35" s="41">
        <f t="shared" si="35"/>
        <v>0</v>
      </c>
      <c r="AI35" s="31"/>
      <c r="AJ35" s="22">
        <f t="shared" si="36"/>
        <v>0</v>
      </c>
      <c r="AK35" s="22">
        <f t="shared" si="37"/>
        <v>0</v>
      </c>
      <c r="AL35" s="22">
        <f t="shared" si="38"/>
        <v>0</v>
      </c>
      <c r="AN35" s="41">
        <v>21</v>
      </c>
      <c r="AO35" s="41">
        <f>G35*1</f>
        <v>0</v>
      </c>
      <c r="AP35" s="41">
        <f>G35*(1-1)</f>
        <v>0</v>
      </c>
      <c r="AQ35" s="43" t="s">
        <v>13</v>
      </c>
      <c r="AV35" s="41">
        <f t="shared" si="39"/>
        <v>0</v>
      </c>
      <c r="AW35" s="41">
        <f t="shared" si="40"/>
        <v>0</v>
      </c>
      <c r="AX35" s="41">
        <f t="shared" si="41"/>
        <v>0</v>
      </c>
      <c r="AY35" s="44" t="s">
        <v>220</v>
      </c>
      <c r="AZ35" s="44" t="s">
        <v>227</v>
      </c>
      <c r="BA35" s="31" t="s">
        <v>230</v>
      </c>
      <c r="BC35" s="41">
        <f t="shared" si="42"/>
        <v>0</v>
      </c>
      <c r="BD35" s="41">
        <f t="shared" si="43"/>
        <v>0</v>
      </c>
      <c r="BE35" s="41">
        <v>0</v>
      </c>
      <c r="BF35" s="41">
        <f t="shared" si="44"/>
        <v>0.01056</v>
      </c>
      <c r="BH35" s="22">
        <f t="shared" si="45"/>
        <v>0</v>
      </c>
      <c r="BI35" s="22">
        <f t="shared" si="46"/>
        <v>0</v>
      </c>
      <c r="BJ35" s="22">
        <f t="shared" si="47"/>
        <v>0</v>
      </c>
      <c r="BK35" s="22" t="s">
        <v>243</v>
      </c>
      <c r="BL35" s="41">
        <v>766</v>
      </c>
    </row>
    <row r="36" spans="1:64" ht="12.75">
      <c r="A36" s="4" t="s">
        <v>27</v>
      </c>
      <c r="B36" s="13" t="s">
        <v>81</v>
      </c>
      <c r="C36" s="134" t="s">
        <v>143</v>
      </c>
      <c r="D36" s="135"/>
      <c r="E36" s="13" t="s">
        <v>183</v>
      </c>
      <c r="F36" s="21">
        <v>19.2</v>
      </c>
      <c r="G36" s="102">
        <v>0</v>
      </c>
      <c r="H36" s="21">
        <f t="shared" si="24"/>
        <v>0</v>
      </c>
      <c r="I36" s="21">
        <f t="shared" si="25"/>
        <v>0</v>
      </c>
      <c r="J36" s="21">
        <f t="shared" si="26"/>
        <v>0</v>
      </c>
      <c r="K36" s="21">
        <v>1E-05</v>
      </c>
      <c r="L36" s="21">
        <f t="shared" si="27"/>
        <v>0.000192</v>
      </c>
      <c r="M36" s="35" t="s">
        <v>206</v>
      </c>
      <c r="N36" s="39"/>
      <c r="Z36" s="41">
        <f t="shared" si="28"/>
        <v>0</v>
      </c>
      <c r="AB36" s="41">
        <f t="shared" si="29"/>
        <v>0</v>
      </c>
      <c r="AC36" s="41">
        <f t="shared" si="30"/>
        <v>0</v>
      </c>
      <c r="AD36" s="41">
        <f t="shared" si="31"/>
        <v>0</v>
      </c>
      <c r="AE36" s="41">
        <f t="shared" si="32"/>
        <v>0</v>
      </c>
      <c r="AF36" s="41">
        <f t="shared" si="33"/>
        <v>0</v>
      </c>
      <c r="AG36" s="41">
        <f t="shared" si="34"/>
        <v>0</v>
      </c>
      <c r="AH36" s="41">
        <f t="shared" si="35"/>
        <v>0</v>
      </c>
      <c r="AI36" s="31"/>
      <c r="AJ36" s="21">
        <f t="shared" si="36"/>
        <v>0</v>
      </c>
      <c r="AK36" s="21">
        <f t="shared" si="37"/>
        <v>0</v>
      </c>
      <c r="AL36" s="21">
        <f t="shared" si="38"/>
        <v>0</v>
      </c>
      <c r="AN36" s="41">
        <v>21</v>
      </c>
      <c r="AO36" s="41">
        <f>G36*0.0220498614958449</f>
        <v>0</v>
      </c>
      <c r="AP36" s="41">
        <f>G36*(1-0.0220498614958449)</f>
        <v>0</v>
      </c>
      <c r="AQ36" s="42" t="s">
        <v>13</v>
      </c>
      <c r="AV36" s="41">
        <f t="shared" si="39"/>
        <v>0</v>
      </c>
      <c r="AW36" s="41">
        <f t="shared" si="40"/>
        <v>0</v>
      </c>
      <c r="AX36" s="41">
        <f t="shared" si="41"/>
        <v>0</v>
      </c>
      <c r="AY36" s="44" t="s">
        <v>220</v>
      </c>
      <c r="AZ36" s="44" t="s">
        <v>227</v>
      </c>
      <c r="BA36" s="31" t="s">
        <v>230</v>
      </c>
      <c r="BC36" s="41">
        <f t="shared" si="42"/>
        <v>0</v>
      </c>
      <c r="BD36" s="41">
        <f t="shared" si="43"/>
        <v>0</v>
      </c>
      <c r="BE36" s="41">
        <v>0</v>
      </c>
      <c r="BF36" s="41">
        <f t="shared" si="44"/>
        <v>0.000192</v>
      </c>
      <c r="BH36" s="21">
        <f t="shared" si="45"/>
        <v>0</v>
      </c>
      <c r="BI36" s="21">
        <f t="shared" si="46"/>
        <v>0</v>
      </c>
      <c r="BJ36" s="21">
        <f t="shared" si="47"/>
        <v>0</v>
      </c>
      <c r="BK36" s="21" t="s">
        <v>242</v>
      </c>
      <c r="BL36" s="41">
        <v>766</v>
      </c>
    </row>
    <row r="37" spans="1:64" ht="12.75">
      <c r="A37" s="5" t="s">
        <v>28</v>
      </c>
      <c r="B37" s="14" t="s">
        <v>82</v>
      </c>
      <c r="C37" s="136" t="s">
        <v>144</v>
      </c>
      <c r="D37" s="137"/>
      <c r="E37" s="14" t="s">
        <v>184</v>
      </c>
      <c r="F37" s="22">
        <v>39</v>
      </c>
      <c r="G37" s="103">
        <v>0</v>
      </c>
      <c r="H37" s="22">
        <f t="shared" si="24"/>
        <v>0</v>
      </c>
      <c r="I37" s="22">
        <f t="shared" si="25"/>
        <v>0</v>
      </c>
      <c r="J37" s="22">
        <f t="shared" si="26"/>
        <v>0</v>
      </c>
      <c r="K37" s="22">
        <v>0.1012</v>
      </c>
      <c r="L37" s="22">
        <f t="shared" si="27"/>
        <v>3.9468</v>
      </c>
      <c r="M37" s="36" t="s">
        <v>207</v>
      </c>
      <c r="N37" s="39"/>
      <c r="Z37" s="41">
        <f t="shared" si="28"/>
        <v>0</v>
      </c>
      <c r="AB37" s="41">
        <f t="shared" si="29"/>
        <v>0</v>
      </c>
      <c r="AC37" s="41">
        <f t="shared" si="30"/>
        <v>0</v>
      </c>
      <c r="AD37" s="41">
        <f t="shared" si="31"/>
        <v>0</v>
      </c>
      <c r="AE37" s="41">
        <f t="shared" si="32"/>
        <v>0</v>
      </c>
      <c r="AF37" s="41">
        <f t="shared" si="33"/>
        <v>0</v>
      </c>
      <c r="AG37" s="41">
        <f t="shared" si="34"/>
        <v>0</v>
      </c>
      <c r="AH37" s="41">
        <f t="shared" si="35"/>
        <v>0</v>
      </c>
      <c r="AI37" s="31"/>
      <c r="AJ37" s="22">
        <f t="shared" si="36"/>
        <v>0</v>
      </c>
      <c r="AK37" s="22">
        <f t="shared" si="37"/>
        <v>0</v>
      </c>
      <c r="AL37" s="22">
        <f t="shared" si="38"/>
        <v>0</v>
      </c>
      <c r="AN37" s="41">
        <v>21</v>
      </c>
      <c r="AO37" s="41">
        <f>G37*1</f>
        <v>0</v>
      </c>
      <c r="AP37" s="41">
        <f>G37*(1-1)</f>
        <v>0</v>
      </c>
      <c r="AQ37" s="43" t="s">
        <v>13</v>
      </c>
      <c r="AV37" s="41">
        <f t="shared" si="39"/>
        <v>0</v>
      </c>
      <c r="AW37" s="41">
        <f t="shared" si="40"/>
        <v>0</v>
      </c>
      <c r="AX37" s="41">
        <f t="shared" si="41"/>
        <v>0</v>
      </c>
      <c r="AY37" s="44" t="s">
        <v>220</v>
      </c>
      <c r="AZ37" s="44" t="s">
        <v>227</v>
      </c>
      <c r="BA37" s="31" t="s">
        <v>230</v>
      </c>
      <c r="BC37" s="41">
        <f t="shared" si="42"/>
        <v>0</v>
      </c>
      <c r="BD37" s="41">
        <f t="shared" si="43"/>
        <v>0</v>
      </c>
      <c r="BE37" s="41">
        <v>0</v>
      </c>
      <c r="BF37" s="41">
        <f t="shared" si="44"/>
        <v>3.9468</v>
      </c>
      <c r="BH37" s="22">
        <f t="shared" si="45"/>
        <v>0</v>
      </c>
      <c r="BI37" s="22">
        <f t="shared" si="46"/>
        <v>0</v>
      </c>
      <c r="BJ37" s="22">
        <f t="shared" si="47"/>
        <v>0</v>
      </c>
      <c r="BK37" s="22" t="s">
        <v>243</v>
      </c>
      <c r="BL37" s="41">
        <v>766</v>
      </c>
    </row>
    <row r="38" spans="1:64" ht="12.75">
      <c r="A38" s="5" t="s">
        <v>29</v>
      </c>
      <c r="B38" s="14" t="s">
        <v>83</v>
      </c>
      <c r="C38" s="136" t="s">
        <v>145</v>
      </c>
      <c r="D38" s="137"/>
      <c r="E38" s="14" t="s">
        <v>184</v>
      </c>
      <c r="F38" s="22">
        <v>8</v>
      </c>
      <c r="G38" s="103">
        <v>0</v>
      </c>
      <c r="H38" s="22">
        <f t="shared" si="24"/>
        <v>0</v>
      </c>
      <c r="I38" s="22">
        <f t="shared" si="25"/>
        <v>0</v>
      </c>
      <c r="J38" s="22">
        <f t="shared" si="26"/>
        <v>0</v>
      </c>
      <c r="K38" s="22">
        <v>0.054</v>
      </c>
      <c r="L38" s="22">
        <f t="shared" si="27"/>
        <v>0.432</v>
      </c>
      <c r="M38" s="36" t="s">
        <v>207</v>
      </c>
      <c r="N38" s="39"/>
      <c r="Z38" s="41">
        <f t="shared" si="28"/>
        <v>0</v>
      </c>
      <c r="AB38" s="41">
        <f t="shared" si="29"/>
        <v>0</v>
      </c>
      <c r="AC38" s="41">
        <f t="shared" si="30"/>
        <v>0</v>
      </c>
      <c r="AD38" s="41">
        <f t="shared" si="31"/>
        <v>0</v>
      </c>
      <c r="AE38" s="41">
        <f t="shared" si="32"/>
        <v>0</v>
      </c>
      <c r="AF38" s="41">
        <f t="shared" si="33"/>
        <v>0</v>
      </c>
      <c r="AG38" s="41">
        <f t="shared" si="34"/>
        <v>0</v>
      </c>
      <c r="AH38" s="41">
        <f t="shared" si="35"/>
        <v>0</v>
      </c>
      <c r="AI38" s="31"/>
      <c r="AJ38" s="22">
        <f t="shared" si="36"/>
        <v>0</v>
      </c>
      <c r="AK38" s="22">
        <f t="shared" si="37"/>
        <v>0</v>
      </c>
      <c r="AL38" s="22">
        <f t="shared" si="38"/>
        <v>0</v>
      </c>
      <c r="AN38" s="41">
        <v>21</v>
      </c>
      <c r="AO38" s="41">
        <f>G38*1</f>
        <v>0</v>
      </c>
      <c r="AP38" s="41">
        <f>G38*(1-1)</f>
        <v>0</v>
      </c>
      <c r="AQ38" s="43" t="s">
        <v>13</v>
      </c>
      <c r="AV38" s="41">
        <f t="shared" si="39"/>
        <v>0</v>
      </c>
      <c r="AW38" s="41">
        <f t="shared" si="40"/>
        <v>0</v>
      </c>
      <c r="AX38" s="41">
        <f t="shared" si="41"/>
        <v>0</v>
      </c>
      <c r="AY38" s="44" t="s">
        <v>220</v>
      </c>
      <c r="AZ38" s="44" t="s">
        <v>227</v>
      </c>
      <c r="BA38" s="31" t="s">
        <v>230</v>
      </c>
      <c r="BC38" s="41">
        <f t="shared" si="42"/>
        <v>0</v>
      </c>
      <c r="BD38" s="41">
        <f t="shared" si="43"/>
        <v>0</v>
      </c>
      <c r="BE38" s="41">
        <v>0</v>
      </c>
      <c r="BF38" s="41">
        <f t="shared" si="44"/>
        <v>0.432</v>
      </c>
      <c r="BH38" s="22">
        <f t="shared" si="45"/>
        <v>0</v>
      </c>
      <c r="BI38" s="22">
        <f t="shared" si="46"/>
        <v>0</v>
      </c>
      <c r="BJ38" s="22">
        <f t="shared" si="47"/>
        <v>0</v>
      </c>
      <c r="BK38" s="22" t="s">
        <v>243</v>
      </c>
      <c r="BL38" s="41">
        <v>766</v>
      </c>
    </row>
    <row r="39" spans="1:64" ht="12.75">
      <c r="A39" s="5" t="s">
        <v>30</v>
      </c>
      <c r="B39" s="14" t="s">
        <v>84</v>
      </c>
      <c r="C39" s="136" t="s">
        <v>146</v>
      </c>
      <c r="D39" s="137"/>
      <c r="E39" s="14" t="s">
        <v>184</v>
      </c>
      <c r="F39" s="22">
        <v>10</v>
      </c>
      <c r="G39" s="103">
        <v>0</v>
      </c>
      <c r="H39" s="22">
        <f t="shared" si="24"/>
        <v>0</v>
      </c>
      <c r="I39" s="22">
        <f t="shared" si="25"/>
        <v>0</v>
      </c>
      <c r="J39" s="22">
        <f t="shared" si="26"/>
        <v>0</v>
      </c>
      <c r="K39" s="22">
        <v>0.0942</v>
      </c>
      <c r="L39" s="22">
        <f t="shared" si="27"/>
        <v>0.9420000000000001</v>
      </c>
      <c r="M39" s="36" t="s">
        <v>207</v>
      </c>
      <c r="N39" s="39"/>
      <c r="Z39" s="41">
        <f t="shared" si="28"/>
        <v>0</v>
      </c>
      <c r="AB39" s="41">
        <f t="shared" si="29"/>
        <v>0</v>
      </c>
      <c r="AC39" s="41">
        <f t="shared" si="30"/>
        <v>0</v>
      </c>
      <c r="AD39" s="41">
        <f t="shared" si="31"/>
        <v>0</v>
      </c>
      <c r="AE39" s="41">
        <f t="shared" si="32"/>
        <v>0</v>
      </c>
      <c r="AF39" s="41">
        <f t="shared" si="33"/>
        <v>0</v>
      </c>
      <c r="AG39" s="41">
        <f t="shared" si="34"/>
        <v>0</v>
      </c>
      <c r="AH39" s="41">
        <f t="shared" si="35"/>
        <v>0</v>
      </c>
      <c r="AI39" s="31"/>
      <c r="AJ39" s="22">
        <f t="shared" si="36"/>
        <v>0</v>
      </c>
      <c r="AK39" s="22">
        <f t="shared" si="37"/>
        <v>0</v>
      </c>
      <c r="AL39" s="22">
        <f t="shared" si="38"/>
        <v>0</v>
      </c>
      <c r="AN39" s="41">
        <v>21</v>
      </c>
      <c r="AO39" s="41">
        <f>G39*1</f>
        <v>0</v>
      </c>
      <c r="AP39" s="41">
        <f>G39*(1-1)</f>
        <v>0</v>
      </c>
      <c r="AQ39" s="43" t="s">
        <v>13</v>
      </c>
      <c r="AV39" s="41">
        <f t="shared" si="39"/>
        <v>0</v>
      </c>
      <c r="AW39" s="41">
        <f t="shared" si="40"/>
        <v>0</v>
      </c>
      <c r="AX39" s="41">
        <f t="shared" si="41"/>
        <v>0</v>
      </c>
      <c r="AY39" s="44" t="s">
        <v>220</v>
      </c>
      <c r="AZ39" s="44" t="s">
        <v>227</v>
      </c>
      <c r="BA39" s="31" t="s">
        <v>230</v>
      </c>
      <c r="BC39" s="41">
        <f t="shared" si="42"/>
        <v>0</v>
      </c>
      <c r="BD39" s="41">
        <f t="shared" si="43"/>
        <v>0</v>
      </c>
      <c r="BE39" s="41">
        <v>0</v>
      </c>
      <c r="BF39" s="41">
        <f t="shared" si="44"/>
        <v>0.9420000000000001</v>
      </c>
      <c r="BH39" s="22">
        <f t="shared" si="45"/>
        <v>0</v>
      </c>
      <c r="BI39" s="22">
        <f t="shared" si="46"/>
        <v>0</v>
      </c>
      <c r="BJ39" s="22">
        <f t="shared" si="47"/>
        <v>0</v>
      </c>
      <c r="BK39" s="22" t="s">
        <v>243</v>
      </c>
      <c r="BL39" s="41">
        <v>766</v>
      </c>
    </row>
    <row r="40" spans="1:64" ht="12.75">
      <c r="A40" s="5" t="s">
        <v>31</v>
      </c>
      <c r="B40" s="14" t="s">
        <v>85</v>
      </c>
      <c r="C40" s="136" t="s">
        <v>147</v>
      </c>
      <c r="D40" s="137"/>
      <c r="E40" s="14" t="s">
        <v>184</v>
      </c>
      <c r="F40" s="22">
        <v>2</v>
      </c>
      <c r="G40" s="103">
        <v>0</v>
      </c>
      <c r="H40" s="22">
        <f t="shared" si="24"/>
        <v>0</v>
      </c>
      <c r="I40" s="22">
        <f t="shared" si="25"/>
        <v>0</v>
      </c>
      <c r="J40" s="22">
        <f t="shared" si="26"/>
        <v>0</v>
      </c>
      <c r="K40" s="22">
        <v>0.0867</v>
      </c>
      <c r="L40" s="22">
        <f t="shared" si="27"/>
        <v>0.1734</v>
      </c>
      <c r="M40" s="36" t="s">
        <v>207</v>
      </c>
      <c r="N40" s="39"/>
      <c r="Z40" s="41">
        <f t="shared" si="28"/>
        <v>0</v>
      </c>
      <c r="AB40" s="41">
        <f t="shared" si="29"/>
        <v>0</v>
      </c>
      <c r="AC40" s="41">
        <f t="shared" si="30"/>
        <v>0</v>
      </c>
      <c r="AD40" s="41">
        <f t="shared" si="31"/>
        <v>0</v>
      </c>
      <c r="AE40" s="41">
        <f t="shared" si="32"/>
        <v>0</v>
      </c>
      <c r="AF40" s="41">
        <f t="shared" si="33"/>
        <v>0</v>
      </c>
      <c r="AG40" s="41">
        <f t="shared" si="34"/>
        <v>0</v>
      </c>
      <c r="AH40" s="41">
        <f t="shared" si="35"/>
        <v>0</v>
      </c>
      <c r="AI40" s="31"/>
      <c r="AJ40" s="22">
        <f t="shared" si="36"/>
        <v>0</v>
      </c>
      <c r="AK40" s="22">
        <f t="shared" si="37"/>
        <v>0</v>
      </c>
      <c r="AL40" s="22">
        <f t="shared" si="38"/>
        <v>0</v>
      </c>
      <c r="AN40" s="41">
        <v>21</v>
      </c>
      <c r="AO40" s="41">
        <f>G40*1</f>
        <v>0</v>
      </c>
      <c r="AP40" s="41">
        <f>G40*(1-1)</f>
        <v>0</v>
      </c>
      <c r="AQ40" s="43" t="s">
        <v>13</v>
      </c>
      <c r="AV40" s="41">
        <f t="shared" si="39"/>
        <v>0</v>
      </c>
      <c r="AW40" s="41">
        <f t="shared" si="40"/>
        <v>0</v>
      </c>
      <c r="AX40" s="41">
        <f t="shared" si="41"/>
        <v>0</v>
      </c>
      <c r="AY40" s="44" t="s">
        <v>220</v>
      </c>
      <c r="AZ40" s="44" t="s">
        <v>227</v>
      </c>
      <c r="BA40" s="31" t="s">
        <v>230</v>
      </c>
      <c r="BC40" s="41">
        <f t="shared" si="42"/>
        <v>0</v>
      </c>
      <c r="BD40" s="41">
        <f t="shared" si="43"/>
        <v>0</v>
      </c>
      <c r="BE40" s="41">
        <v>0</v>
      </c>
      <c r="BF40" s="41">
        <f t="shared" si="44"/>
        <v>0.1734</v>
      </c>
      <c r="BH40" s="22">
        <f t="shared" si="45"/>
        <v>0</v>
      </c>
      <c r="BI40" s="22">
        <f t="shared" si="46"/>
        <v>0</v>
      </c>
      <c r="BJ40" s="22">
        <f t="shared" si="47"/>
        <v>0</v>
      </c>
      <c r="BK40" s="22" t="s">
        <v>243</v>
      </c>
      <c r="BL40" s="41">
        <v>766</v>
      </c>
    </row>
    <row r="41" spans="1:64" ht="12.75">
      <c r="A41" s="5" t="s">
        <v>32</v>
      </c>
      <c r="B41" s="14" t="s">
        <v>86</v>
      </c>
      <c r="C41" s="136" t="s">
        <v>148</v>
      </c>
      <c r="D41" s="137"/>
      <c r="E41" s="14" t="s">
        <v>184</v>
      </c>
      <c r="F41" s="22">
        <v>8</v>
      </c>
      <c r="G41" s="103">
        <v>0</v>
      </c>
      <c r="H41" s="22">
        <f t="shared" si="24"/>
        <v>0</v>
      </c>
      <c r="I41" s="22">
        <f t="shared" si="25"/>
        <v>0</v>
      </c>
      <c r="J41" s="22">
        <f t="shared" si="26"/>
        <v>0</v>
      </c>
      <c r="K41" s="22">
        <v>0.072</v>
      </c>
      <c r="L41" s="22">
        <f t="shared" si="27"/>
        <v>0.576</v>
      </c>
      <c r="M41" s="36" t="s">
        <v>207</v>
      </c>
      <c r="N41" s="39"/>
      <c r="Z41" s="41">
        <f t="shared" si="28"/>
        <v>0</v>
      </c>
      <c r="AB41" s="41">
        <f t="shared" si="29"/>
        <v>0</v>
      </c>
      <c r="AC41" s="41">
        <f t="shared" si="30"/>
        <v>0</v>
      </c>
      <c r="AD41" s="41">
        <f t="shared" si="31"/>
        <v>0</v>
      </c>
      <c r="AE41" s="41">
        <f t="shared" si="32"/>
        <v>0</v>
      </c>
      <c r="AF41" s="41">
        <f t="shared" si="33"/>
        <v>0</v>
      </c>
      <c r="AG41" s="41">
        <f t="shared" si="34"/>
        <v>0</v>
      </c>
      <c r="AH41" s="41">
        <f t="shared" si="35"/>
        <v>0</v>
      </c>
      <c r="AI41" s="31"/>
      <c r="AJ41" s="22">
        <f t="shared" si="36"/>
        <v>0</v>
      </c>
      <c r="AK41" s="22">
        <f t="shared" si="37"/>
        <v>0</v>
      </c>
      <c r="AL41" s="22">
        <f t="shared" si="38"/>
        <v>0</v>
      </c>
      <c r="AN41" s="41">
        <v>21</v>
      </c>
      <c r="AO41" s="41">
        <f>G41*1</f>
        <v>0</v>
      </c>
      <c r="AP41" s="41">
        <f>G41*(1-1)</f>
        <v>0</v>
      </c>
      <c r="AQ41" s="43" t="s">
        <v>13</v>
      </c>
      <c r="AV41" s="41">
        <f t="shared" si="39"/>
        <v>0</v>
      </c>
      <c r="AW41" s="41">
        <f t="shared" si="40"/>
        <v>0</v>
      </c>
      <c r="AX41" s="41">
        <f t="shared" si="41"/>
        <v>0</v>
      </c>
      <c r="AY41" s="44" t="s">
        <v>220</v>
      </c>
      <c r="AZ41" s="44" t="s">
        <v>227</v>
      </c>
      <c r="BA41" s="31" t="s">
        <v>230</v>
      </c>
      <c r="BC41" s="41">
        <f t="shared" si="42"/>
        <v>0</v>
      </c>
      <c r="BD41" s="41">
        <f t="shared" si="43"/>
        <v>0</v>
      </c>
      <c r="BE41" s="41">
        <v>0</v>
      </c>
      <c r="BF41" s="41">
        <f t="shared" si="44"/>
        <v>0.576</v>
      </c>
      <c r="BH41" s="22">
        <f t="shared" si="45"/>
        <v>0</v>
      </c>
      <c r="BI41" s="22">
        <f t="shared" si="46"/>
        <v>0</v>
      </c>
      <c r="BJ41" s="22">
        <f t="shared" si="47"/>
        <v>0</v>
      </c>
      <c r="BK41" s="22" t="s">
        <v>243</v>
      </c>
      <c r="BL41" s="41">
        <v>766</v>
      </c>
    </row>
    <row r="42" spans="1:47" ht="12.75">
      <c r="A42" s="6"/>
      <c r="B42" s="15" t="s">
        <v>87</v>
      </c>
      <c r="C42" s="138" t="s">
        <v>149</v>
      </c>
      <c r="D42" s="139"/>
      <c r="E42" s="19" t="s">
        <v>6</v>
      </c>
      <c r="F42" s="19" t="s">
        <v>6</v>
      </c>
      <c r="G42" s="19" t="s">
        <v>6</v>
      </c>
      <c r="H42" s="47">
        <f>SUM(H43:H47)</f>
        <v>0</v>
      </c>
      <c r="I42" s="47">
        <f>SUM(I43:I47)</f>
        <v>0</v>
      </c>
      <c r="J42" s="47">
        <f>SUM(J43:J47)</f>
        <v>0</v>
      </c>
      <c r="K42" s="31"/>
      <c r="L42" s="47">
        <f>SUM(L43:L47)</f>
        <v>0.1016428</v>
      </c>
      <c r="M42" s="37"/>
      <c r="N42" s="39"/>
      <c r="AI42" s="31"/>
      <c r="AS42" s="47">
        <f>SUM(AJ43:AJ47)</f>
        <v>0</v>
      </c>
      <c r="AT42" s="47">
        <f>SUM(AK43:AK47)</f>
        <v>0</v>
      </c>
      <c r="AU42" s="47">
        <f>SUM(AL43:AL47)</f>
        <v>0</v>
      </c>
    </row>
    <row r="43" spans="1:64" ht="12.75">
      <c r="A43" s="4" t="s">
        <v>33</v>
      </c>
      <c r="B43" s="13" t="s">
        <v>88</v>
      </c>
      <c r="C43" s="134" t="s">
        <v>150</v>
      </c>
      <c r="D43" s="135"/>
      <c r="E43" s="13" t="s">
        <v>180</v>
      </c>
      <c r="F43" s="21">
        <v>8.68</v>
      </c>
      <c r="G43" s="102">
        <v>0</v>
      </c>
      <c r="H43" s="21">
        <f>F43*AO43</f>
        <v>0</v>
      </c>
      <c r="I43" s="21">
        <f>F43*AP43</f>
        <v>0</v>
      </c>
      <c r="J43" s="21">
        <f>F43*G43</f>
        <v>0</v>
      </c>
      <c r="K43" s="21">
        <v>0</v>
      </c>
      <c r="L43" s="21">
        <f>F43*K43</f>
        <v>0</v>
      </c>
      <c r="M43" s="35" t="s">
        <v>206</v>
      </c>
      <c r="N43" s="39"/>
      <c r="Z43" s="41">
        <f>IF(AQ43="5",BJ43,0)</f>
        <v>0</v>
      </c>
      <c r="AB43" s="41">
        <f>IF(AQ43="1",BH43,0)</f>
        <v>0</v>
      </c>
      <c r="AC43" s="41">
        <f>IF(AQ43="1",BI43,0)</f>
        <v>0</v>
      </c>
      <c r="AD43" s="41">
        <f>IF(AQ43="7",BH43,0)</f>
        <v>0</v>
      </c>
      <c r="AE43" s="41">
        <f>IF(AQ43="7",BI43,0)</f>
        <v>0</v>
      </c>
      <c r="AF43" s="41">
        <f>IF(AQ43="2",BH43,0)</f>
        <v>0</v>
      </c>
      <c r="AG43" s="41">
        <f>IF(AQ43="2",BI43,0)</f>
        <v>0</v>
      </c>
      <c r="AH43" s="41">
        <f>IF(AQ43="0",BJ43,0)</f>
        <v>0</v>
      </c>
      <c r="AI43" s="31"/>
      <c r="AJ43" s="21">
        <f>IF(AN43=0,J43,0)</f>
        <v>0</v>
      </c>
      <c r="AK43" s="21">
        <f>IF(AN43=15,J43,0)</f>
        <v>0</v>
      </c>
      <c r="AL43" s="21">
        <f>IF(AN43=21,J43,0)</f>
        <v>0</v>
      </c>
      <c r="AN43" s="41">
        <v>21</v>
      </c>
      <c r="AO43" s="41">
        <f>G43*0</f>
        <v>0</v>
      </c>
      <c r="AP43" s="41">
        <f>G43*(1-0)</f>
        <v>0</v>
      </c>
      <c r="AQ43" s="42" t="s">
        <v>13</v>
      </c>
      <c r="AV43" s="41">
        <f>AW43+AX43</f>
        <v>0</v>
      </c>
      <c r="AW43" s="41">
        <f>F43*AO43</f>
        <v>0</v>
      </c>
      <c r="AX43" s="41">
        <f>F43*AP43</f>
        <v>0</v>
      </c>
      <c r="AY43" s="44" t="s">
        <v>221</v>
      </c>
      <c r="AZ43" s="44" t="s">
        <v>228</v>
      </c>
      <c r="BA43" s="31" t="s">
        <v>230</v>
      </c>
      <c r="BC43" s="41">
        <f>AW43+AX43</f>
        <v>0</v>
      </c>
      <c r="BD43" s="41">
        <f>G43/(100-BE43)*100</f>
        <v>0</v>
      </c>
      <c r="BE43" s="41">
        <v>0</v>
      </c>
      <c r="BF43" s="41">
        <f>L43</f>
        <v>0</v>
      </c>
      <c r="BH43" s="21">
        <f>F43*AO43</f>
        <v>0</v>
      </c>
      <c r="BI43" s="21">
        <f>F43*AP43</f>
        <v>0</v>
      </c>
      <c r="BJ43" s="21">
        <f>F43*G43</f>
        <v>0</v>
      </c>
      <c r="BK43" s="21" t="s">
        <v>242</v>
      </c>
      <c r="BL43" s="41">
        <v>781</v>
      </c>
    </row>
    <row r="44" spans="1:64" ht="12.75">
      <c r="A44" s="4" t="s">
        <v>34</v>
      </c>
      <c r="B44" s="13" t="s">
        <v>89</v>
      </c>
      <c r="C44" s="134" t="s">
        <v>151</v>
      </c>
      <c r="D44" s="135"/>
      <c r="E44" s="13" t="s">
        <v>180</v>
      </c>
      <c r="F44" s="21">
        <v>8.68</v>
      </c>
      <c r="G44" s="102">
        <v>0</v>
      </c>
      <c r="H44" s="21">
        <f>F44*AO44</f>
        <v>0</v>
      </c>
      <c r="I44" s="21">
        <f>F44*AP44</f>
        <v>0</v>
      </c>
      <c r="J44" s="21">
        <f>F44*G44</f>
        <v>0</v>
      </c>
      <c r="K44" s="21">
        <v>0.00016</v>
      </c>
      <c r="L44" s="21">
        <f>F44*K44</f>
        <v>0.0013888000000000001</v>
      </c>
      <c r="M44" s="35" t="s">
        <v>206</v>
      </c>
      <c r="N44" s="39"/>
      <c r="Z44" s="41">
        <f>IF(AQ44="5",BJ44,0)</f>
        <v>0</v>
      </c>
      <c r="AB44" s="41">
        <f>IF(AQ44="1",BH44,0)</f>
        <v>0</v>
      </c>
      <c r="AC44" s="41">
        <f>IF(AQ44="1",BI44,0)</f>
        <v>0</v>
      </c>
      <c r="AD44" s="41">
        <f>IF(AQ44="7",BH44,0)</f>
        <v>0</v>
      </c>
      <c r="AE44" s="41">
        <f>IF(AQ44="7",BI44,0)</f>
        <v>0</v>
      </c>
      <c r="AF44" s="41">
        <f>IF(AQ44="2",BH44,0)</f>
        <v>0</v>
      </c>
      <c r="AG44" s="41">
        <f>IF(AQ44="2",BI44,0)</f>
        <v>0</v>
      </c>
      <c r="AH44" s="41">
        <f>IF(AQ44="0",BJ44,0)</f>
        <v>0</v>
      </c>
      <c r="AI44" s="31"/>
      <c r="AJ44" s="21">
        <f>IF(AN44=0,J44,0)</f>
        <v>0</v>
      </c>
      <c r="AK44" s="21">
        <f>IF(AN44=15,J44,0)</f>
        <v>0</v>
      </c>
      <c r="AL44" s="21">
        <f>IF(AN44=21,J44,0)</f>
        <v>0</v>
      </c>
      <c r="AN44" s="41">
        <v>21</v>
      </c>
      <c r="AO44" s="41">
        <f>G44*0.419667601985754</f>
        <v>0</v>
      </c>
      <c r="AP44" s="41">
        <f>G44*(1-0.419667601985754)</f>
        <v>0</v>
      </c>
      <c r="AQ44" s="42" t="s">
        <v>13</v>
      </c>
      <c r="AV44" s="41">
        <f>AW44+AX44</f>
        <v>0</v>
      </c>
      <c r="AW44" s="41">
        <f>F44*AO44</f>
        <v>0</v>
      </c>
      <c r="AX44" s="41">
        <f>F44*AP44</f>
        <v>0</v>
      </c>
      <c r="AY44" s="44" t="s">
        <v>221</v>
      </c>
      <c r="AZ44" s="44" t="s">
        <v>228</v>
      </c>
      <c r="BA44" s="31" t="s">
        <v>230</v>
      </c>
      <c r="BC44" s="41">
        <f>AW44+AX44</f>
        <v>0</v>
      </c>
      <c r="BD44" s="41">
        <f>G44/(100-BE44)*100</f>
        <v>0</v>
      </c>
      <c r="BE44" s="41">
        <v>0</v>
      </c>
      <c r="BF44" s="41">
        <f>L44</f>
        <v>0.0013888000000000001</v>
      </c>
      <c r="BH44" s="21">
        <f>F44*AO44</f>
        <v>0</v>
      </c>
      <c r="BI44" s="21">
        <f>F44*AP44</f>
        <v>0</v>
      </c>
      <c r="BJ44" s="21">
        <f>F44*G44</f>
        <v>0</v>
      </c>
      <c r="BK44" s="21" t="s">
        <v>242</v>
      </c>
      <c r="BL44" s="41">
        <v>781</v>
      </c>
    </row>
    <row r="45" spans="1:64" ht="12.75">
      <c r="A45" s="4" t="s">
        <v>35</v>
      </c>
      <c r="B45" s="13" t="s">
        <v>90</v>
      </c>
      <c r="C45" s="134" t="s">
        <v>152</v>
      </c>
      <c r="D45" s="135"/>
      <c r="E45" s="13" t="s">
        <v>180</v>
      </c>
      <c r="F45" s="21">
        <v>8.68</v>
      </c>
      <c r="G45" s="102">
        <v>0</v>
      </c>
      <c r="H45" s="21">
        <f>F45*AO45</f>
        <v>0</v>
      </c>
      <c r="I45" s="21">
        <f>F45*AP45</f>
        <v>0</v>
      </c>
      <c r="J45" s="21">
        <f>F45*G45</f>
        <v>0</v>
      </c>
      <c r="K45" s="21">
        <v>0</v>
      </c>
      <c r="L45" s="21">
        <f>F45*K45</f>
        <v>0</v>
      </c>
      <c r="M45" s="35" t="s">
        <v>206</v>
      </c>
      <c r="N45" s="39"/>
      <c r="Z45" s="41">
        <f>IF(AQ45="5",BJ45,0)</f>
        <v>0</v>
      </c>
      <c r="AB45" s="41">
        <f>IF(AQ45="1",BH45,0)</f>
        <v>0</v>
      </c>
      <c r="AC45" s="41">
        <f>IF(AQ45="1",BI45,0)</f>
        <v>0</v>
      </c>
      <c r="AD45" s="41">
        <f>IF(AQ45="7",BH45,0)</f>
        <v>0</v>
      </c>
      <c r="AE45" s="41">
        <f>IF(AQ45="7",BI45,0)</f>
        <v>0</v>
      </c>
      <c r="AF45" s="41">
        <f>IF(AQ45="2",BH45,0)</f>
        <v>0</v>
      </c>
      <c r="AG45" s="41">
        <f>IF(AQ45="2",BI45,0)</f>
        <v>0</v>
      </c>
      <c r="AH45" s="41">
        <f>IF(AQ45="0",BJ45,0)</f>
        <v>0</v>
      </c>
      <c r="AI45" s="31"/>
      <c r="AJ45" s="21">
        <f>IF(AN45=0,J45,0)</f>
        <v>0</v>
      </c>
      <c r="AK45" s="21">
        <f>IF(AN45=15,J45,0)</f>
        <v>0</v>
      </c>
      <c r="AL45" s="21">
        <f>IF(AN45=21,J45,0)</f>
        <v>0</v>
      </c>
      <c r="AN45" s="41">
        <v>21</v>
      </c>
      <c r="AO45" s="41">
        <f>G45*0</f>
        <v>0</v>
      </c>
      <c r="AP45" s="41">
        <f>G45*(1-0)</f>
        <v>0</v>
      </c>
      <c r="AQ45" s="42" t="s">
        <v>13</v>
      </c>
      <c r="AV45" s="41">
        <f>AW45+AX45</f>
        <v>0</v>
      </c>
      <c r="AW45" s="41">
        <f>F45*AO45</f>
        <v>0</v>
      </c>
      <c r="AX45" s="41">
        <f>F45*AP45</f>
        <v>0</v>
      </c>
      <c r="AY45" s="44" t="s">
        <v>221</v>
      </c>
      <c r="AZ45" s="44" t="s">
        <v>228</v>
      </c>
      <c r="BA45" s="31" t="s">
        <v>230</v>
      </c>
      <c r="BC45" s="41">
        <f>AW45+AX45</f>
        <v>0</v>
      </c>
      <c r="BD45" s="41">
        <f>G45/(100-BE45)*100</f>
        <v>0</v>
      </c>
      <c r="BE45" s="41">
        <v>0</v>
      </c>
      <c r="BF45" s="41">
        <f>L45</f>
        <v>0</v>
      </c>
      <c r="BH45" s="21">
        <f>F45*AO45</f>
        <v>0</v>
      </c>
      <c r="BI45" s="21">
        <f>F45*AP45</f>
        <v>0</v>
      </c>
      <c r="BJ45" s="21">
        <f>F45*G45</f>
        <v>0</v>
      </c>
      <c r="BK45" s="21" t="s">
        <v>242</v>
      </c>
      <c r="BL45" s="41">
        <v>781</v>
      </c>
    </row>
    <row r="46" spans="1:64" ht="12.75">
      <c r="A46" s="4" t="s">
        <v>36</v>
      </c>
      <c r="B46" s="13" t="s">
        <v>91</v>
      </c>
      <c r="C46" s="134" t="s">
        <v>153</v>
      </c>
      <c r="D46" s="135"/>
      <c r="E46" s="13" t="s">
        <v>182</v>
      </c>
      <c r="F46" s="21">
        <v>0.10164</v>
      </c>
      <c r="G46" s="102">
        <v>0</v>
      </c>
      <c r="H46" s="21">
        <f>F46*AO46</f>
        <v>0</v>
      </c>
      <c r="I46" s="21">
        <f>F46*AP46</f>
        <v>0</v>
      </c>
      <c r="J46" s="21">
        <f>F46*G46</f>
        <v>0</v>
      </c>
      <c r="K46" s="21">
        <v>0</v>
      </c>
      <c r="L46" s="21">
        <f>F46*K46</f>
        <v>0</v>
      </c>
      <c r="M46" s="35" t="s">
        <v>206</v>
      </c>
      <c r="N46" s="39"/>
      <c r="Z46" s="41">
        <f>IF(AQ46="5",BJ46,0)</f>
        <v>0</v>
      </c>
      <c r="AB46" s="41">
        <f>IF(AQ46="1",BH46,0)</f>
        <v>0</v>
      </c>
      <c r="AC46" s="41">
        <f>IF(AQ46="1",BI46,0)</f>
        <v>0</v>
      </c>
      <c r="AD46" s="41">
        <f>IF(AQ46="7",BH46,0)</f>
        <v>0</v>
      </c>
      <c r="AE46" s="41">
        <f>IF(AQ46="7",BI46,0)</f>
        <v>0</v>
      </c>
      <c r="AF46" s="41">
        <f>IF(AQ46="2",BH46,0)</f>
        <v>0</v>
      </c>
      <c r="AG46" s="41">
        <f>IF(AQ46="2",BI46,0)</f>
        <v>0</v>
      </c>
      <c r="AH46" s="41">
        <f>IF(AQ46="0",BJ46,0)</f>
        <v>0</v>
      </c>
      <c r="AI46" s="31"/>
      <c r="AJ46" s="21">
        <f>IF(AN46=0,J46,0)</f>
        <v>0</v>
      </c>
      <c r="AK46" s="21">
        <f>IF(AN46=15,J46,0)</f>
        <v>0</v>
      </c>
      <c r="AL46" s="21">
        <f>IF(AN46=21,J46,0)</f>
        <v>0</v>
      </c>
      <c r="AN46" s="41">
        <v>21</v>
      </c>
      <c r="AO46" s="41">
        <f>G46*0</f>
        <v>0</v>
      </c>
      <c r="AP46" s="41">
        <f>G46*(1-0)</f>
        <v>0</v>
      </c>
      <c r="AQ46" s="42" t="s">
        <v>11</v>
      </c>
      <c r="AV46" s="41">
        <f>AW46+AX46</f>
        <v>0</v>
      </c>
      <c r="AW46" s="41">
        <f>F46*AO46</f>
        <v>0</v>
      </c>
      <c r="AX46" s="41">
        <f>F46*AP46</f>
        <v>0</v>
      </c>
      <c r="AY46" s="44" t="s">
        <v>221</v>
      </c>
      <c r="AZ46" s="44" t="s">
        <v>228</v>
      </c>
      <c r="BA46" s="31" t="s">
        <v>230</v>
      </c>
      <c r="BC46" s="41">
        <f>AW46+AX46</f>
        <v>0</v>
      </c>
      <c r="BD46" s="41">
        <f>G46/(100-BE46)*100</f>
        <v>0</v>
      </c>
      <c r="BE46" s="41">
        <v>0</v>
      </c>
      <c r="BF46" s="41">
        <f>L46</f>
        <v>0</v>
      </c>
      <c r="BH46" s="21">
        <f>F46*AO46</f>
        <v>0</v>
      </c>
      <c r="BI46" s="21">
        <f>F46*AP46</f>
        <v>0</v>
      </c>
      <c r="BJ46" s="21">
        <f>F46*G46</f>
        <v>0</v>
      </c>
      <c r="BK46" s="21" t="s">
        <v>242</v>
      </c>
      <c r="BL46" s="41">
        <v>781</v>
      </c>
    </row>
    <row r="47" spans="1:64" ht="12.75">
      <c r="A47" s="5" t="s">
        <v>37</v>
      </c>
      <c r="B47" s="14" t="s">
        <v>92</v>
      </c>
      <c r="C47" s="136" t="s">
        <v>154</v>
      </c>
      <c r="D47" s="137"/>
      <c r="E47" s="14" t="s">
        <v>180</v>
      </c>
      <c r="F47" s="22">
        <v>9.548</v>
      </c>
      <c r="G47" s="103">
        <v>0</v>
      </c>
      <c r="H47" s="22">
        <f>F47*AO47</f>
        <v>0</v>
      </c>
      <c r="I47" s="22">
        <f>F47*AP47</f>
        <v>0</v>
      </c>
      <c r="J47" s="22">
        <f>F47*G47</f>
        <v>0</v>
      </c>
      <c r="K47" s="22">
        <v>0.0105</v>
      </c>
      <c r="L47" s="22">
        <f>F47*K47</f>
        <v>0.10025400000000001</v>
      </c>
      <c r="M47" s="36" t="s">
        <v>206</v>
      </c>
      <c r="N47" s="39"/>
      <c r="Z47" s="41">
        <f>IF(AQ47="5",BJ47,0)</f>
        <v>0</v>
      </c>
      <c r="AB47" s="41">
        <f>IF(AQ47="1",BH47,0)</f>
        <v>0</v>
      </c>
      <c r="AC47" s="41">
        <f>IF(AQ47="1",BI47,0)</f>
        <v>0</v>
      </c>
      <c r="AD47" s="41">
        <f>IF(AQ47="7",BH47,0)</f>
        <v>0</v>
      </c>
      <c r="AE47" s="41">
        <f>IF(AQ47="7",BI47,0)</f>
        <v>0</v>
      </c>
      <c r="AF47" s="41">
        <f>IF(AQ47="2",BH47,0)</f>
        <v>0</v>
      </c>
      <c r="AG47" s="41">
        <f>IF(AQ47="2",BI47,0)</f>
        <v>0</v>
      </c>
      <c r="AH47" s="41">
        <f>IF(AQ47="0",BJ47,0)</f>
        <v>0</v>
      </c>
      <c r="AI47" s="31"/>
      <c r="AJ47" s="22">
        <f>IF(AN47=0,J47,0)</f>
        <v>0</v>
      </c>
      <c r="AK47" s="22">
        <f>IF(AN47=15,J47,0)</f>
        <v>0</v>
      </c>
      <c r="AL47" s="22">
        <f>IF(AN47=21,J47,0)</f>
        <v>0</v>
      </c>
      <c r="AN47" s="41">
        <v>21</v>
      </c>
      <c r="AO47" s="41">
        <f>G47*1</f>
        <v>0</v>
      </c>
      <c r="AP47" s="41">
        <f>G47*(1-1)</f>
        <v>0</v>
      </c>
      <c r="AQ47" s="43" t="s">
        <v>13</v>
      </c>
      <c r="AV47" s="41">
        <f>AW47+AX47</f>
        <v>0</v>
      </c>
      <c r="AW47" s="41">
        <f>F47*AO47</f>
        <v>0</v>
      </c>
      <c r="AX47" s="41">
        <f>F47*AP47</f>
        <v>0</v>
      </c>
      <c r="AY47" s="44" t="s">
        <v>221</v>
      </c>
      <c r="AZ47" s="44" t="s">
        <v>228</v>
      </c>
      <c r="BA47" s="31" t="s">
        <v>230</v>
      </c>
      <c r="BC47" s="41">
        <f>AW47+AX47</f>
        <v>0</v>
      </c>
      <c r="BD47" s="41">
        <f>G47/(100-BE47)*100</f>
        <v>0</v>
      </c>
      <c r="BE47" s="41">
        <v>0</v>
      </c>
      <c r="BF47" s="41">
        <f>L47</f>
        <v>0.10025400000000001</v>
      </c>
      <c r="BH47" s="22">
        <f>F47*AO47</f>
        <v>0</v>
      </c>
      <c r="BI47" s="22">
        <f>F47*AP47</f>
        <v>0</v>
      </c>
      <c r="BJ47" s="22">
        <f>F47*G47</f>
        <v>0</v>
      </c>
      <c r="BK47" s="22" t="s">
        <v>243</v>
      </c>
      <c r="BL47" s="41">
        <v>781</v>
      </c>
    </row>
    <row r="48" spans="1:47" ht="12.75">
      <c r="A48" s="6"/>
      <c r="B48" s="15" t="s">
        <v>93</v>
      </c>
      <c r="C48" s="138" t="s">
        <v>155</v>
      </c>
      <c r="D48" s="139"/>
      <c r="E48" s="19" t="s">
        <v>6</v>
      </c>
      <c r="F48" s="19" t="s">
        <v>6</v>
      </c>
      <c r="G48" s="19" t="s">
        <v>6</v>
      </c>
      <c r="H48" s="47">
        <f>SUM(H49:H50)</f>
        <v>0</v>
      </c>
      <c r="I48" s="47">
        <f>SUM(I49:I50)</f>
        <v>0</v>
      </c>
      <c r="J48" s="47">
        <f>SUM(J49:J50)</f>
        <v>0</v>
      </c>
      <c r="K48" s="31"/>
      <c r="L48" s="47">
        <f>SUM(L49:L50)</f>
        <v>0.1167747</v>
      </c>
      <c r="M48" s="37"/>
      <c r="N48" s="39"/>
      <c r="AI48" s="31"/>
      <c r="AS48" s="47">
        <f>SUM(AJ49:AJ50)</f>
        <v>0</v>
      </c>
      <c r="AT48" s="47">
        <f>SUM(AK49:AK50)</f>
        <v>0</v>
      </c>
      <c r="AU48" s="47">
        <f>SUM(AL49:AL50)</f>
        <v>0</v>
      </c>
    </row>
    <row r="49" spans="1:64" ht="12.75">
      <c r="A49" s="4" t="s">
        <v>38</v>
      </c>
      <c r="B49" s="13" t="s">
        <v>94</v>
      </c>
      <c r="C49" s="134" t="s">
        <v>156</v>
      </c>
      <c r="D49" s="135"/>
      <c r="E49" s="13" t="s">
        <v>180</v>
      </c>
      <c r="F49" s="21">
        <v>228.97</v>
      </c>
      <c r="G49" s="102">
        <v>0</v>
      </c>
      <c r="H49" s="21">
        <f>F49*AO49</f>
        <v>0</v>
      </c>
      <c r="I49" s="21">
        <f>F49*AP49</f>
        <v>0</v>
      </c>
      <c r="J49" s="21">
        <f>F49*G49</f>
        <v>0</v>
      </c>
      <c r="K49" s="21">
        <v>0.00031</v>
      </c>
      <c r="L49" s="21">
        <f>F49*K49</f>
        <v>0.0709807</v>
      </c>
      <c r="M49" s="35" t="s">
        <v>206</v>
      </c>
      <c r="N49" s="39"/>
      <c r="Z49" s="41">
        <f>IF(AQ49="5",BJ49,0)</f>
        <v>0</v>
      </c>
      <c r="AB49" s="41">
        <f>IF(AQ49="1",BH49,0)</f>
        <v>0</v>
      </c>
      <c r="AC49" s="41">
        <f>IF(AQ49="1",BI49,0)</f>
        <v>0</v>
      </c>
      <c r="AD49" s="41">
        <f>IF(AQ49="7",BH49,0)</f>
        <v>0</v>
      </c>
      <c r="AE49" s="41">
        <f>IF(AQ49="7",BI49,0)</f>
        <v>0</v>
      </c>
      <c r="AF49" s="41">
        <f>IF(AQ49="2",BH49,0)</f>
        <v>0</v>
      </c>
      <c r="AG49" s="41">
        <f>IF(AQ49="2",BI49,0)</f>
        <v>0</v>
      </c>
      <c r="AH49" s="41">
        <f>IF(AQ49="0",BJ49,0)</f>
        <v>0</v>
      </c>
      <c r="AI49" s="31"/>
      <c r="AJ49" s="21">
        <f>IF(AN49=0,J49,0)</f>
        <v>0</v>
      </c>
      <c r="AK49" s="21">
        <f>IF(AN49=15,J49,0)</f>
        <v>0</v>
      </c>
      <c r="AL49" s="21">
        <f>IF(AN49=21,J49,0)</f>
        <v>0</v>
      </c>
      <c r="AN49" s="41">
        <v>21</v>
      </c>
      <c r="AO49" s="41">
        <f>G49*0.313031606329054</f>
        <v>0</v>
      </c>
      <c r="AP49" s="41">
        <f>G49*(1-0.313031606329054)</f>
        <v>0</v>
      </c>
      <c r="AQ49" s="42" t="s">
        <v>13</v>
      </c>
      <c r="AV49" s="41">
        <f>AW49+AX49</f>
        <v>0</v>
      </c>
      <c r="AW49" s="41">
        <f>F49*AO49</f>
        <v>0</v>
      </c>
      <c r="AX49" s="41">
        <f>F49*AP49</f>
        <v>0</v>
      </c>
      <c r="AY49" s="44" t="s">
        <v>222</v>
      </c>
      <c r="AZ49" s="44" t="s">
        <v>228</v>
      </c>
      <c r="BA49" s="31" t="s">
        <v>230</v>
      </c>
      <c r="BB49" s="31" t="s">
        <v>234</v>
      </c>
      <c r="BC49" s="41">
        <f>AW49+AX49</f>
        <v>0</v>
      </c>
      <c r="BD49" s="41">
        <f>G49/(100-BE49)*100</f>
        <v>0</v>
      </c>
      <c r="BE49" s="41">
        <v>0</v>
      </c>
      <c r="BF49" s="41">
        <f>L49</f>
        <v>0.0709807</v>
      </c>
      <c r="BH49" s="21">
        <f>F49*AO49</f>
        <v>0</v>
      </c>
      <c r="BI49" s="21">
        <f>F49*AP49</f>
        <v>0</v>
      </c>
      <c r="BJ49" s="21">
        <f>F49*G49</f>
        <v>0</v>
      </c>
      <c r="BK49" s="21" t="s">
        <v>242</v>
      </c>
      <c r="BL49" s="41">
        <v>784</v>
      </c>
    </row>
    <row r="50" spans="1:64" ht="12.75">
      <c r="A50" s="4" t="s">
        <v>39</v>
      </c>
      <c r="B50" s="13" t="s">
        <v>95</v>
      </c>
      <c r="C50" s="134" t="s">
        <v>129</v>
      </c>
      <c r="D50" s="135"/>
      <c r="E50" s="13" t="s">
        <v>180</v>
      </c>
      <c r="F50" s="21">
        <v>228.97</v>
      </c>
      <c r="G50" s="102">
        <v>0</v>
      </c>
      <c r="H50" s="21">
        <f>F50*AO50</f>
        <v>0</v>
      </c>
      <c r="I50" s="21">
        <f>F50*AP50</f>
        <v>0</v>
      </c>
      <c r="J50" s="21">
        <f>F50*G50</f>
        <v>0</v>
      </c>
      <c r="K50" s="21">
        <v>0.0002</v>
      </c>
      <c r="L50" s="21">
        <f>F50*K50</f>
        <v>0.045794</v>
      </c>
      <c r="M50" s="35" t="s">
        <v>206</v>
      </c>
      <c r="N50" s="39"/>
      <c r="Z50" s="41">
        <f>IF(AQ50="5",BJ50,0)</f>
        <v>0</v>
      </c>
      <c r="AB50" s="41">
        <f>IF(AQ50="1",BH50,0)</f>
        <v>0</v>
      </c>
      <c r="AC50" s="41">
        <f>IF(AQ50="1",BI50,0)</f>
        <v>0</v>
      </c>
      <c r="AD50" s="41">
        <f>IF(AQ50="7",BH50,0)</f>
        <v>0</v>
      </c>
      <c r="AE50" s="41">
        <f>IF(AQ50="7",BI50,0)</f>
        <v>0</v>
      </c>
      <c r="AF50" s="41">
        <f>IF(AQ50="2",BH50,0)</f>
        <v>0</v>
      </c>
      <c r="AG50" s="41">
        <f>IF(AQ50="2",BI50,0)</f>
        <v>0</v>
      </c>
      <c r="AH50" s="41">
        <f>IF(AQ50="0",BJ50,0)</f>
        <v>0</v>
      </c>
      <c r="AI50" s="31"/>
      <c r="AJ50" s="21">
        <f>IF(AN50=0,J50,0)</f>
        <v>0</v>
      </c>
      <c r="AK50" s="21">
        <f>IF(AN50=15,J50,0)</f>
        <v>0</v>
      </c>
      <c r="AL50" s="21">
        <f>IF(AN50=21,J50,0)</f>
        <v>0</v>
      </c>
      <c r="AN50" s="41">
        <v>21</v>
      </c>
      <c r="AO50" s="41">
        <f>G50*0.411221674082672</f>
        <v>0</v>
      </c>
      <c r="AP50" s="41">
        <f>G50*(1-0.411221674082672)</f>
        <v>0</v>
      </c>
      <c r="AQ50" s="42" t="s">
        <v>13</v>
      </c>
      <c r="AV50" s="41">
        <f>AW50+AX50</f>
        <v>0</v>
      </c>
      <c r="AW50" s="41">
        <f>F50*AO50</f>
        <v>0</v>
      </c>
      <c r="AX50" s="41">
        <f>F50*AP50</f>
        <v>0</v>
      </c>
      <c r="AY50" s="44" t="s">
        <v>222</v>
      </c>
      <c r="AZ50" s="44" t="s">
        <v>228</v>
      </c>
      <c r="BA50" s="31" t="s">
        <v>230</v>
      </c>
      <c r="BB50" s="31" t="s">
        <v>234</v>
      </c>
      <c r="BC50" s="41">
        <f>AW50+AX50</f>
        <v>0</v>
      </c>
      <c r="BD50" s="41">
        <f>G50/(100-BE50)*100</f>
        <v>0</v>
      </c>
      <c r="BE50" s="41">
        <v>0</v>
      </c>
      <c r="BF50" s="41">
        <f>L50</f>
        <v>0.045794</v>
      </c>
      <c r="BH50" s="21">
        <f>F50*AO50</f>
        <v>0</v>
      </c>
      <c r="BI50" s="21">
        <f>F50*AP50</f>
        <v>0</v>
      </c>
      <c r="BJ50" s="21">
        <f>F50*G50</f>
        <v>0</v>
      </c>
      <c r="BK50" s="21" t="s">
        <v>242</v>
      </c>
      <c r="BL50" s="41">
        <v>784</v>
      </c>
    </row>
    <row r="51" spans="1:47" ht="12.75">
      <c r="A51" s="6"/>
      <c r="B51" s="15" t="s">
        <v>96</v>
      </c>
      <c r="C51" s="138" t="s">
        <v>157</v>
      </c>
      <c r="D51" s="139"/>
      <c r="E51" s="19" t="s">
        <v>6</v>
      </c>
      <c r="F51" s="19" t="s">
        <v>6</v>
      </c>
      <c r="G51" s="19" t="s">
        <v>6</v>
      </c>
      <c r="H51" s="47">
        <f>SUM(H52:H54)</f>
        <v>0</v>
      </c>
      <c r="I51" s="47">
        <f>SUM(I52:I54)</f>
        <v>0</v>
      </c>
      <c r="J51" s="47">
        <f>SUM(J52:J54)</f>
        <v>0</v>
      </c>
      <c r="K51" s="31"/>
      <c r="L51" s="47">
        <f>SUM(L52:L54)</f>
        <v>15.932106000000001</v>
      </c>
      <c r="M51" s="37"/>
      <c r="N51" s="39"/>
      <c r="AI51" s="31"/>
      <c r="AS51" s="47">
        <f>SUM(AJ52:AJ54)</f>
        <v>0</v>
      </c>
      <c r="AT51" s="47">
        <f>SUM(AK52:AK54)</f>
        <v>0</v>
      </c>
      <c r="AU51" s="47">
        <f>SUM(AL52:AL54)</f>
        <v>0</v>
      </c>
    </row>
    <row r="52" spans="1:64" ht="12.75">
      <c r="A52" s="4" t="s">
        <v>40</v>
      </c>
      <c r="B52" s="13" t="s">
        <v>97</v>
      </c>
      <c r="C52" s="134" t="s">
        <v>158</v>
      </c>
      <c r="D52" s="135"/>
      <c r="E52" s="13" t="s">
        <v>180</v>
      </c>
      <c r="F52" s="21">
        <v>288.7</v>
      </c>
      <c r="G52" s="102">
        <v>0</v>
      </c>
      <c r="H52" s="21">
        <f>F52*AO52</f>
        <v>0</v>
      </c>
      <c r="I52" s="21">
        <f>F52*AP52</f>
        <v>0</v>
      </c>
      <c r="J52" s="21">
        <f>F52*G52</f>
        <v>0</v>
      </c>
      <c r="K52" s="21">
        <v>0.00158</v>
      </c>
      <c r="L52" s="21">
        <f>F52*K52</f>
        <v>0.456146</v>
      </c>
      <c r="M52" s="35" t="s">
        <v>206</v>
      </c>
      <c r="N52" s="39"/>
      <c r="Z52" s="41">
        <f>IF(AQ52="5",BJ52,0)</f>
        <v>0</v>
      </c>
      <c r="AB52" s="41">
        <f>IF(AQ52="1",BH52,0)</f>
        <v>0</v>
      </c>
      <c r="AC52" s="41">
        <f>IF(AQ52="1",BI52,0)</f>
        <v>0</v>
      </c>
      <c r="AD52" s="41">
        <f>IF(AQ52="7",BH52,0)</f>
        <v>0</v>
      </c>
      <c r="AE52" s="41">
        <f>IF(AQ52="7",BI52,0)</f>
        <v>0</v>
      </c>
      <c r="AF52" s="41">
        <f>IF(AQ52="2",BH52,0)</f>
        <v>0</v>
      </c>
      <c r="AG52" s="41">
        <f>IF(AQ52="2",BI52,0)</f>
        <v>0</v>
      </c>
      <c r="AH52" s="41">
        <f>IF(AQ52="0",BJ52,0)</f>
        <v>0</v>
      </c>
      <c r="AI52" s="31"/>
      <c r="AJ52" s="21">
        <f>IF(AN52=0,J52,0)</f>
        <v>0</v>
      </c>
      <c r="AK52" s="21">
        <f>IF(AN52=15,J52,0)</f>
        <v>0</v>
      </c>
      <c r="AL52" s="21">
        <f>IF(AN52=21,J52,0)</f>
        <v>0</v>
      </c>
      <c r="AN52" s="41">
        <v>21</v>
      </c>
      <c r="AO52" s="41">
        <f>G52*0.345358942060644</f>
        <v>0</v>
      </c>
      <c r="AP52" s="41">
        <f>G52*(1-0.345358942060644)</f>
        <v>0</v>
      </c>
      <c r="AQ52" s="42" t="s">
        <v>7</v>
      </c>
      <c r="AV52" s="41">
        <f>AW52+AX52</f>
        <v>0</v>
      </c>
      <c r="AW52" s="41">
        <f>F52*AO52</f>
        <v>0</v>
      </c>
      <c r="AX52" s="41">
        <f>F52*AP52</f>
        <v>0</v>
      </c>
      <c r="AY52" s="44" t="s">
        <v>223</v>
      </c>
      <c r="AZ52" s="44" t="s">
        <v>229</v>
      </c>
      <c r="BA52" s="31" t="s">
        <v>230</v>
      </c>
      <c r="BB52" s="31" t="s">
        <v>235</v>
      </c>
      <c r="BC52" s="41">
        <f>AW52+AX52</f>
        <v>0</v>
      </c>
      <c r="BD52" s="41">
        <f>G52/(100-BE52)*100</f>
        <v>0</v>
      </c>
      <c r="BE52" s="41">
        <v>0</v>
      </c>
      <c r="BF52" s="41">
        <f>L52</f>
        <v>0.456146</v>
      </c>
      <c r="BH52" s="21">
        <f>F52*AO52</f>
        <v>0</v>
      </c>
      <c r="BI52" s="21">
        <f>F52*AP52</f>
        <v>0</v>
      </c>
      <c r="BJ52" s="21">
        <f>F52*G52</f>
        <v>0</v>
      </c>
      <c r="BK52" s="21" t="s">
        <v>242</v>
      </c>
      <c r="BL52" s="41">
        <v>94</v>
      </c>
    </row>
    <row r="53" spans="1:64" ht="12.75">
      <c r="A53" s="4" t="s">
        <v>41</v>
      </c>
      <c r="B53" s="13" t="s">
        <v>98</v>
      </c>
      <c r="C53" s="134" t="s">
        <v>159</v>
      </c>
      <c r="D53" s="135"/>
      <c r="E53" s="13" t="s">
        <v>180</v>
      </c>
      <c r="F53" s="21">
        <v>842</v>
      </c>
      <c r="G53" s="102">
        <v>0</v>
      </c>
      <c r="H53" s="21">
        <f>F53*AO53</f>
        <v>0</v>
      </c>
      <c r="I53" s="21">
        <f>F53*AP53</f>
        <v>0</v>
      </c>
      <c r="J53" s="21">
        <f>F53*G53</f>
        <v>0</v>
      </c>
      <c r="K53" s="21">
        <v>0</v>
      </c>
      <c r="L53" s="21">
        <f>F53*K53</f>
        <v>0</v>
      </c>
      <c r="M53" s="35" t="s">
        <v>206</v>
      </c>
      <c r="N53" s="39"/>
      <c r="Z53" s="41">
        <f>IF(AQ53="5",BJ53,0)</f>
        <v>0</v>
      </c>
      <c r="AB53" s="41">
        <f>IF(AQ53="1",BH53,0)</f>
        <v>0</v>
      </c>
      <c r="AC53" s="41">
        <f>IF(AQ53="1",BI53,0)</f>
        <v>0</v>
      </c>
      <c r="AD53" s="41">
        <f>IF(AQ53="7",BH53,0)</f>
        <v>0</v>
      </c>
      <c r="AE53" s="41">
        <f>IF(AQ53="7",BI53,0)</f>
        <v>0</v>
      </c>
      <c r="AF53" s="41">
        <f>IF(AQ53="2",BH53,0)</f>
        <v>0</v>
      </c>
      <c r="AG53" s="41">
        <f>IF(AQ53="2",BI53,0)</f>
        <v>0</v>
      </c>
      <c r="AH53" s="41">
        <f>IF(AQ53="0",BJ53,0)</f>
        <v>0</v>
      </c>
      <c r="AI53" s="31"/>
      <c r="AJ53" s="21">
        <f>IF(AN53=0,J53,0)</f>
        <v>0</v>
      </c>
      <c r="AK53" s="21">
        <f>IF(AN53=15,J53,0)</f>
        <v>0</v>
      </c>
      <c r="AL53" s="21">
        <f>IF(AN53=21,J53,0)</f>
        <v>0</v>
      </c>
      <c r="AN53" s="41">
        <v>21</v>
      </c>
      <c r="AO53" s="41">
        <f>G53*0</f>
        <v>0</v>
      </c>
      <c r="AP53" s="41">
        <f>G53*(1-0)</f>
        <v>0</v>
      </c>
      <c r="AQ53" s="42" t="s">
        <v>7</v>
      </c>
      <c r="AV53" s="41">
        <f>AW53+AX53</f>
        <v>0</v>
      </c>
      <c r="AW53" s="41">
        <f>F53*AO53</f>
        <v>0</v>
      </c>
      <c r="AX53" s="41">
        <f>F53*AP53</f>
        <v>0</v>
      </c>
      <c r="AY53" s="44" t="s">
        <v>223</v>
      </c>
      <c r="AZ53" s="44" t="s">
        <v>229</v>
      </c>
      <c r="BA53" s="31" t="s">
        <v>230</v>
      </c>
      <c r="BC53" s="41">
        <f>AW53+AX53</f>
        <v>0</v>
      </c>
      <c r="BD53" s="41">
        <f>G53/(100-BE53)*100</f>
        <v>0</v>
      </c>
      <c r="BE53" s="41">
        <v>0</v>
      </c>
      <c r="BF53" s="41">
        <f>L53</f>
        <v>0</v>
      </c>
      <c r="BH53" s="21">
        <f>F53*AO53</f>
        <v>0</v>
      </c>
      <c r="BI53" s="21">
        <f>F53*AP53</f>
        <v>0</v>
      </c>
      <c r="BJ53" s="21">
        <f>F53*G53</f>
        <v>0</v>
      </c>
      <c r="BK53" s="21" t="s">
        <v>242</v>
      </c>
      <c r="BL53" s="41">
        <v>94</v>
      </c>
    </row>
    <row r="54" spans="1:64" ht="12.75">
      <c r="A54" s="4" t="s">
        <v>42</v>
      </c>
      <c r="B54" s="13" t="s">
        <v>99</v>
      </c>
      <c r="C54" s="134" t="s">
        <v>160</v>
      </c>
      <c r="D54" s="135"/>
      <c r="E54" s="13" t="s">
        <v>180</v>
      </c>
      <c r="F54" s="21">
        <v>842</v>
      </c>
      <c r="G54" s="102">
        <v>0</v>
      </c>
      <c r="H54" s="21">
        <f>F54*AO54</f>
        <v>0</v>
      </c>
      <c r="I54" s="21">
        <f>F54*AP54</f>
        <v>0</v>
      </c>
      <c r="J54" s="21">
        <f>F54*G54</f>
        <v>0</v>
      </c>
      <c r="K54" s="21">
        <v>0.01838</v>
      </c>
      <c r="L54" s="21">
        <f>F54*K54</f>
        <v>15.47596</v>
      </c>
      <c r="M54" s="35" t="s">
        <v>206</v>
      </c>
      <c r="N54" s="39"/>
      <c r="Z54" s="41">
        <f>IF(AQ54="5",BJ54,0)</f>
        <v>0</v>
      </c>
      <c r="AB54" s="41">
        <f>IF(AQ54="1",BH54,0)</f>
        <v>0</v>
      </c>
      <c r="AC54" s="41">
        <f>IF(AQ54="1",BI54,0)</f>
        <v>0</v>
      </c>
      <c r="AD54" s="41">
        <f>IF(AQ54="7",BH54,0)</f>
        <v>0</v>
      </c>
      <c r="AE54" s="41">
        <f>IF(AQ54="7",BI54,0)</f>
        <v>0</v>
      </c>
      <c r="AF54" s="41">
        <f>IF(AQ54="2",BH54,0)</f>
        <v>0</v>
      </c>
      <c r="AG54" s="41">
        <f>IF(AQ54="2",BI54,0)</f>
        <v>0</v>
      </c>
      <c r="AH54" s="41">
        <f>IF(AQ54="0",BJ54,0)</f>
        <v>0</v>
      </c>
      <c r="AI54" s="31"/>
      <c r="AJ54" s="21">
        <f>IF(AN54=0,J54,0)</f>
        <v>0</v>
      </c>
      <c r="AK54" s="21">
        <f>IF(AN54=15,J54,0)</f>
        <v>0</v>
      </c>
      <c r="AL54" s="21">
        <f>IF(AN54=21,J54,0)</f>
        <v>0</v>
      </c>
      <c r="AN54" s="41">
        <v>21</v>
      </c>
      <c r="AO54" s="41">
        <f>G54*0.000148126203525404</f>
        <v>0</v>
      </c>
      <c r="AP54" s="41">
        <f>G54*(1-0.000148126203525404)</f>
        <v>0</v>
      </c>
      <c r="AQ54" s="42" t="s">
        <v>7</v>
      </c>
      <c r="AV54" s="41">
        <f>AW54+AX54</f>
        <v>0</v>
      </c>
      <c r="AW54" s="41">
        <f>F54*AO54</f>
        <v>0</v>
      </c>
      <c r="AX54" s="41">
        <f>F54*AP54</f>
        <v>0</v>
      </c>
      <c r="AY54" s="44" t="s">
        <v>223</v>
      </c>
      <c r="AZ54" s="44" t="s">
        <v>229</v>
      </c>
      <c r="BA54" s="31" t="s">
        <v>230</v>
      </c>
      <c r="BC54" s="41">
        <f>AW54+AX54</f>
        <v>0</v>
      </c>
      <c r="BD54" s="41">
        <f>G54/(100-BE54)*100</f>
        <v>0</v>
      </c>
      <c r="BE54" s="41">
        <v>0</v>
      </c>
      <c r="BF54" s="41">
        <f>L54</f>
        <v>15.47596</v>
      </c>
      <c r="BH54" s="21">
        <f>F54*AO54</f>
        <v>0</v>
      </c>
      <c r="BI54" s="21">
        <f>F54*AP54</f>
        <v>0</v>
      </c>
      <c r="BJ54" s="21">
        <f>F54*G54</f>
        <v>0</v>
      </c>
      <c r="BK54" s="21" t="s">
        <v>242</v>
      </c>
      <c r="BL54" s="41">
        <v>94</v>
      </c>
    </row>
    <row r="55" spans="1:47" ht="12.75">
      <c r="A55" s="6"/>
      <c r="B55" s="15" t="s">
        <v>100</v>
      </c>
      <c r="C55" s="138" t="s">
        <v>161</v>
      </c>
      <c r="D55" s="139"/>
      <c r="E55" s="19" t="s">
        <v>6</v>
      </c>
      <c r="F55" s="19" t="s">
        <v>6</v>
      </c>
      <c r="G55" s="19" t="s">
        <v>6</v>
      </c>
      <c r="H55" s="47">
        <f>SUM(H56:H56)</f>
        <v>0</v>
      </c>
      <c r="I55" s="47">
        <f>SUM(I56:I56)</f>
        <v>0</v>
      </c>
      <c r="J55" s="47">
        <f>SUM(J56:J56)</f>
        <v>0</v>
      </c>
      <c r="K55" s="31"/>
      <c r="L55" s="47">
        <f>SUM(L56:L56)</f>
        <v>0.008660000000000001</v>
      </c>
      <c r="M55" s="37"/>
      <c r="N55" s="39"/>
      <c r="AI55" s="31"/>
      <c r="AS55" s="47">
        <f>SUM(AJ56:AJ56)</f>
        <v>0</v>
      </c>
      <c r="AT55" s="47">
        <f>SUM(AK56:AK56)</f>
        <v>0</v>
      </c>
      <c r="AU55" s="47">
        <f>SUM(AL56:AL56)</f>
        <v>0</v>
      </c>
    </row>
    <row r="56" spans="1:64" ht="12.75">
      <c r="A56" s="4" t="s">
        <v>43</v>
      </c>
      <c r="B56" s="13" t="s">
        <v>101</v>
      </c>
      <c r="C56" s="134" t="s">
        <v>162</v>
      </c>
      <c r="D56" s="135"/>
      <c r="E56" s="13" t="s">
        <v>180</v>
      </c>
      <c r="F56" s="21">
        <v>216.5</v>
      </c>
      <c r="G56" s="102">
        <v>0</v>
      </c>
      <c r="H56" s="21">
        <f>F56*AO56</f>
        <v>0</v>
      </c>
      <c r="I56" s="21">
        <f>F56*AP56</f>
        <v>0</v>
      </c>
      <c r="J56" s="21">
        <f>F56*G56</f>
        <v>0</v>
      </c>
      <c r="K56" s="21">
        <v>4E-05</v>
      </c>
      <c r="L56" s="21">
        <f>F56*K56</f>
        <v>0.008660000000000001</v>
      </c>
      <c r="M56" s="35" t="s">
        <v>206</v>
      </c>
      <c r="N56" s="39"/>
      <c r="Z56" s="41">
        <f>IF(AQ56="5",BJ56,0)</f>
        <v>0</v>
      </c>
      <c r="AB56" s="41">
        <f>IF(AQ56="1",BH56,0)</f>
        <v>0</v>
      </c>
      <c r="AC56" s="41">
        <f>IF(AQ56="1",BI56,0)</f>
        <v>0</v>
      </c>
      <c r="AD56" s="41">
        <f>IF(AQ56="7",BH56,0)</f>
        <v>0</v>
      </c>
      <c r="AE56" s="41">
        <f>IF(AQ56="7",BI56,0)</f>
        <v>0</v>
      </c>
      <c r="AF56" s="41">
        <f>IF(AQ56="2",BH56,0)</f>
        <v>0</v>
      </c>
      <c r="AG56" s="41">
        <f>IF(AQ56="2",BI56,0)</f>
        <v>0</v>
      </c>
      <c r="AH56" s="41">
        <f>IF(AQ56="0",BJ56,0)</f>
        <v>0</v>
      </c>
      <c r="AI56" s="31"/>
      <c r="AJ56" s="21">
        <f>IF(AN56=0,J56,0)</f>
        <v>0</v>
      </c>
      <c r="AK56" s="21">
        <f>IF(AN56=15,J56,0)</f>
        <v>0</v>
      </c>
      <c r="AL56" s="21">
        <f>IF(AN56=21,J56,0)</f>
        <v>0</v>
      </c>
      <c r="AN56" s="41">
        <v>21</v>
      </c>
      <c r="AO56" s="41">
        <f>G56*0.0121508709761153</f>
        <v>0</v>
      </c>
      <c r="AP56" s="41">
        <f>G56*(1-0.0121508709761153)</f>
        <v>0</v>
      </c>
      <c r="AQ56" s="42" t="s">
        <v>7</v>
      </c>
      <c r="AV56" s="41">
        <f>AW56+AX56</f>
        <v>0</v>
      </c>
      <c r="AW56" s="41">
        <f>F56*AO56</f>
        <v>0</v>
      </c>
      <c r="AX56" s="41">
        <f>F56*AP56</f>
        <v>0</v>
      </c>
      <c r="AY56" s="44" t="s">
        <v>224</v>
      </c>
      <c r="AZ56" s="44" t="s">
        <v>229</v>
      </c>
      <c r="BA56" s="31" t="s">
        <v>230</v>
      </c>
      <c r="BB56" s="31" t="s">
        <v>236</v>
      </c>
      <c r="BC56" s="41">
        <f>AW56+AX56</f>
        <v>0</v>
      </c>
      <c r="BD56" s="41">
        <f>G56/(100-BE56)*100</f>
        <v>0</v>
      </c>
      <c r="BE56" s="41">
        <v>0</v>
      </c>
      <c r="BF56" s="41">
        <f>L56</f>
        <v>0.008660000000000001</v>
      </c>
      <c r="BH56" s="21">
        <f>F56*AO56</f>
        <v>0</v>
      </c>
      <c r="BI56" s="21">
        <f>F56*AP56</f>
        <v>0</v>
      </c>
      <c r="BJ56" s="21">
        <f>F56*G56</f>
        <v>0</v>
      </c>
      <c r="BK56" s="21" t="s">
        <v>242</v>
      </c>
      <c r="BL56" s="41">
        <v>95</v>
      </c>
    </row>
    <row r="57" spans="1:47" ht="12.75">
      <c r="A57" s="6"/>
      <c r="B57" s="15" t="s">
        <v>102</v>
      </c>
      <c r="C57" s="138" t="s">
        <v>163</v>
      </c>
      <c r="D57" s="139"/>
      <c r="E57" s="19" t="s">
        <v>6</v>
      </c>
      <c r="F57" s="19" t="s">
        <v>6</v>
      </c>
      <c r="G57" s="19" t="s">
        <v>6</v>
      </c>
      <c r="H57" s="47">
        <f>SUM(H58:H68)</f>
        <v>0</v>
      </c>
      <c r="I57" s="47">
        <f>SUM(I58:I68)</f>
        <v>0</v>
      </c>
      <c r="J57" s="47">
        <f>SUM(J58:J68)</f>
        <v>0</v>
      </c>
      <c r="K57" s="31"/>
      <c r="L57" s="47">
        <f>SUM(L58:L68)</f>
        <v>7.40738</v>
      </c>
      <c r="M57" s="37"/>
      <c r="N57" s="39"/>
      <c r="AI57" s="31"/>
      <c r="AS57" s="47">
        <f>SUM(AJ58:AJ68)</f>
        <v>0</v>
      </c>
      <c r="AT57" s="47">
        <f>SUM(AK58:AK68)</f>
        <v>0</v>
      </c>
      <c r="AU57" s="47">
        <f>SUM(AL58:AL68)</f>
        <v>0</v>
      </c>
    </row>
    <row r="58" spans="1:64" ht="12.75">
      <c r="A58" s="4" t="s">
        <v>44</v>
      </c>
      <c r="B58" s="13" t="s">
        <v>103</v>
      </c>
      <c r="C58" s="134" t="s">
        <v>164</v>
      </c>
      <c r="D58" s="135"/>
      <c r="E58" s="13" t="s">
        <v>183</v>
      </c>
      <c r="F58" s="21">
        <v>196</v>
      </c>
      <c r="G58" s="102">
        <v>0</v>
      </c>
      <c r="H58" s="21">
        <f aca="true" t="shared" si="48" ref="H58:H68">F58*AO58</f>
        <v>0</v>
      </c>
      <c r="I58" s="21">
        <f aca="true" t="shared" si="49" ref="I58:I68">F58*AP58</f>
        <v>0</v>
      </c>
      <c r="J58" s="21">
        <f aca="true" t="shared" si="50" ref="J58:J68">F58*G58</f>
        <v>0</v>
      </c>
      <c r="K58" s="21">
        <v>0</v>
      </c>
      <c r="L58" s="21">
        <f aca="true" t="shared" si="51" ref="L58:L68">F58*K58</f>
        <v>0</v>
      </c>
      <c r="M58" s="35" t="s">
        <v>206</v>
      </c>
      <c r="N58" s="39"/>
      <c r="Z58" s="41">
        <f aca="true" t="shared" si="52" ref="Z58:Z68">IF(AQ58="5",BJ58,0)</f>
        <v>0</v>
      </c>
      <c r="AB58" s="41">
        <f aca="true" t="shared" si="53" ref="AB58:AB68">IF(AQ58="1",BH58,0)</f>
        <v>0</v>
      </c>
      <c r="AC58" s="41">
        <f aca="true" t="shared" si="54" ref="AC58:AC68">IF(AQ58="1",BI58,0)</f>
        <v>0</v>
      </c>
      <c r="AD58" s="41">
        <f aca="true" t="shared" si="55" ref="AD58:AD68">IF(AQ58="7",BH58,0)</f>
        <v>0</v>
      </c>
      <c r="AE58" s="41">
        <f aca="true" t="shared" si="56" ref="AE58:AE68">IF(AQ58="7",BI58,0)</f>
        <v>0</v>
      </c>
      <c r="AF58" s="41">
        <f aca="true" t="shared" si="57" ref="AF58:AF68">IF(AQ58="2",BH58,0)</f>
        <v>0</v>
      </c>
      <c r="AG58" s="41">
        <f aca="true" t="shared" si="58" ref="AG58:AG68">IF(AQ58="2",BI58,0)</f>
        <v>0</v>
      </c>
      <c r="AH58" s="41">
        <f aca="true" t="shared" si="59" ref="AH58:AH68">IF(AQ58="0",BJ58,0)</f>
        <v>0</v>
      </c>
      <c r="AI58" s="31"/>
      <c r="AJ58" s="21">
        <f aca="true" t="shared" si="60" ref="AJ58:AJ68">IF(AN58=0,J58,0)</f>
        <v>0</v>
      </c>
      <c r="AK58" s="21">
        <f aca="true" t="shared" si="61" ref="AK58:AK68">IF(AN58=15,J58,0)</f>
        <v>0</v>
      </c>
      <c r="AL58" s="21">
        <f aca="true" t="shared" si="62" ref="AL58:AL68">IF(AN58=21,J58,0)</f>
        <v>0</v>
      </c>
      <c r="AN58" s="41">
        <v>21</v>
      </c>
      <c r="AO58" s="41">
        <f>G58*0</f>
        <v>0</v>
      </c>
      <c r="AP58" s="41">
        <f>G58*(1-0)</f>
        <v>0</v>
      </c>
      <c r="AQ58" s="42" t="s">
        <v>7</v>
      </c>
      <c r="AV58" s="41">
        <f aca="true" t="shared" si="63" ref="AV58:AV68">AW58+AX58</f>
        <v>0</v>
      </c>
      <c r="AW58" s="41">
        <f aca="true" t="shared" si="64" ref="AW58:AW68">F58*AO58</f>
        <v>0</v>
      </c>
      <c r="AX58" s="41">
        <f aca="true" t="shared" si="65" ref="AX58:AX68">F58*AP58</f>
        <v>0</v>
      </c>
      <c r="AY58" s="44" t="s">
        <v>225</v>
      </c>
      <c r="AZ58" s="44" t="s">
        <v>229</v>
      </c>
      <c r="BA58" s="31" t="s">
        <v>230</v>
      </c>
      <c r="BB58" s="31" t="s">
        <v>237</v>
      </c>
      <c r="BC58" s="41">
        <f aca="true" t="shared" si="66" ref="BC58:BC68">AW58+AX58</f>
        <v>0</v>
      </c>
      <c r="BD58" s="41">
        <f aca="true" t="shared" si="67" ref="BD58:BD68">G58/(100-BE58)*100</f>
        <v>0</v>
      </c>
      <c r="BE58" s="41">
        <v>0</v>
      </c>
      <c r="BF58" s="41">
        <f aca="true" t="shared" si="68" ref="BF58:BF68">L58</f>
        <v>0</v>
      </c>
      <c r="BH58" s="21">
        <f aca="true" t="shared" si="69" ref="BH58:BH68">F58*AO58</f>
        <v>0</v>
      </c>
      <c r="BI58" s="21">
        <f aca="true" t="shared" si="70" ref="BI58:BI68">F58*AP58</f>
        <v>0</v>
      </c>
      <c r="BJ58" s="21">
        <f aca="true" t="shared" si="71" ref="BJ58:BJ68">F58*G58</f>
        <v>0</v>
      </c>
      <c r="BK58" s="21" t="s">
        <v>242</v>
      </c>
      <c r="BL58" s="41">
        <v>96</v>
      </c>
    </row>
    <row r="59" spans="1:64" ht="12.75">
      <c r="A59" s="4" t="s">
        <v>45</v>
      </c>
      <c r="B59" s="13" t="s">
        <v>104</v>
      </c>
      <c r="C59" s="134" t="s">
        <v>165</v>
      </c>
      <c r="D59" s="135"/>
      <c r="E59" s="13" t="s">
        <v>180</v>
      </c>
      <c r="F59" s="21">
        <v>322.06</v>
      </c>
      <c r="G59" s="102">
        <v>0</v>
      </c>
      <c r="H59" s="21">
        <f t="shared" si="48"/>
        <v>0</v>
      </c>
      <c r="I59" s="21">
        <f t="shared" si="49"/>
        <v>0</v>
      </c>
      <c r="J59" s="21">
        <f t="shared" si="50"/>
        <v>0</v>
      </c>
      <c r="K59" s="21">
        <v>0.023</v>
      </c>
      <c r="L59" s="21">
        <f t="shared" si="51"/>
        <v>7.40738</v>
      </c>
      <c r="M59" s="35" t="s">
        <v>206</v>
      </c>
      <c r="N59" s="39"/>
      <c r="Z59" s="41">
        <f t="shared" si="52"/>
        <v>0</v>
      </c>
      <c r="AB59" s="41">
        <f t="shared" si="53"/>
        <v>0</v>
      </c>
      <c r="AC59" s="41">
        <f t="shared" si="54"/>
        <v>0</v>
      </c>
      <c r="AD59" s="41">
        <f t="shared" si="55"/>
        <v>0</v>
      </c>
      <c r="AE59" s="41">
        <f t="shared" si="56"/>
        <v>0</v>
      </c>
      <c r="AF59" s="41">
        <f t="shared" si="57"/>
        <v>0</v>
      </c>
      <c r="AG59" s="41">
        <f t="shared" si="58"/>
        <v>0</v>
      </c>
      <c r="AH59" s="41">
        <f t="shared" si="59"/>
        <v>0</v>
      </c>
      <c r="AI59" s="31"/>
      <c r="AJ59" s="21">
        <f t="shared" si="60"/>
        <v>0</v>
      </c>
      <c r="AK59" s="21">
        <f t="shared" si="61"/>
        <v>0</v>
      </c>
      <c r="AL59" s="21">
        <f t="shared" si="62"/>
        <v>0</v>
      </c>
      <c r="AN59" s="41">
        <v>21</v>
      </c>
      <c r="AO59" s="41">
        <f>G59*0.185214233306644</f>
        <v>0</v>
      </c>
      <c r="AP59" s="41">
        <f>G59*(1-0.185214233306644)</f>
        <v>0</v>
      </c>
      <c r="AQ59" s="42" t="s">
        <v>7</v>
      </c>
      <c r="AV59" s="41">
        <f t="shared" si="63"/>
        <v>0</v>
      </c>
      <c r="AW59" s="41">
        <f t="shared" si="64"/>
        <v>0</v>
      </c>
      <c r="AX59" s="41">
        <f t="shared" si="65"/>
        <v>0</v>
      </c>
      <c r="AY59" s="44" t="s">
        <v>225</v>
      </c>
      <c r="AZ59" s="44" t="s">
        <v>229</v>
      </c>
      <c r="BA59" s="31" t="s">
        <v>230</v>
      </c>
      <c r="BB59" s="31" t="s">
        <v>237</v>
      </c>
      <c r="BC59" s="41">
        <f t="shared" si="66"/>
        <v>0</v>
      </c>
      <c r="BD59" s="41">
        <f t="shared" si="67"/>
        <v>0</v>
      </c>
      <c r="BE59" s="41">
        <v>0</v>
      </c>
      <c r="BF59" s="41">
        <f t="shared" si="68"/>
        <v>7.40738</v>
      </c>
      <c r="BH59" s="21">
        <f t="shared" si="69"/>
        <v>0</v>
      </c>
      <c r="BI59" s="21">
        <f t="shared" si="70"/>
        <v>0</v>
      </c>
      <c r="BJ59" s="21">
        <f t="shared" si="71"/>
        <v>0</v>
      </c>
      <c r="BK59" s="21" t="s">
        <v>242</v>
      </c>
      <c r="BL59" s="41">
        <v>96</v>
      </c>
    </row>
    <row r="60" spans="1:64" ht="12.75">
      <c r="A60" s="4" t="s">
        <v>46</v>
      </c>
      <c r="B60" s="13" t="s">
        <v>105</v>
      </c>
      <c r="C60" s="134" t="s">
        <v>166</v>
      </c>
      <c r="D60" s="135"/>
      <c r="E60" s="13" t="s">
        <v>182</v>
      </c>
      <c r="F60" s="21">
        <v>7.4074</v>
      </c>
      <c r="G60" s="102">
        <v>0</v>
      </c>
      <c r="H60" s="21">
        <f t="shared" si="48"/>
        <v>0</v>
      </c>
      <c r="I60" s="21">
        <f t="shared" si="49"/>
        <v>0</v>
      </c>
      <c r="J60" s="21">
        <f t="shared" si="50"/>
        <v>0</v>
      </c>
      <c r="K60" s="21">
        <v>0</v>
      </c>
      <c r="L60" s="21">
        <f t="shared" si="51"/>
        <v>0</v>
      </c>
      <c r="M60" s="35" t="s">
        <v>206</v>
      </c>
      <c r="N60" s="39"/>
      <c r="Z60" s="41">
        <f t="shared" si="52"/>
        <v>0</v>
      </c>
      <c r="AB60" s="41">
        <f t="shared" si="53"/>
        <v>0</v>
      </c>
      <c r="AC60" s="41">
        <f t="shared" si="54"/>
        <v>0</v>
      </c>
      <c r="AD60" s="41">
        <f t="shared" si="55"/>
        <v>0</v>
      </c>
      <c r="AE60" s="41">
        <f t="shared" si="56"/>
        <v>0</v>
      </c>
      <c r="AF60" s="41">
        <f t="shared" si="57"/>
        <v>0</v>
      </c>
      <c r="AG60" s="41">
        <f t="shared" si="58"/>
        <v>0</v>
      </c>
      <c r="AH60" s="41">
        <f t="shared" si="59"/>
        <v>0</v>
      </c>
      <c r="AI60" s="31"/>
      <c r="AJ60" s="21">
        <f t="shared" si="60"/>
        <v>0</v>
      </c>
      <c r="AK60" s="21">
        <f t="shared" si="61"/>
        <v>0</v>
      </c>
      <c r="AL60" s="21">
        <f t="shared" si="62"/>
        <v>0</v>
      </c>
      <c r="AN60" s="41">
        <v>21</v>
      </c>
      <c r="AO60" s="41">
        <f>G60*0</f>
        <v>0</v>
      </c>
      <c r="AP60" s="41">
        <f>G60*(1-0)</f>
        <v>0</v>
      </c>
      <c r="AQ60" s="42" t="s">
        <v>11</v>
      </c>
      <c r="AV60" s="41">
        <f t="shared" si="63"/>
        <v>0</v>
      </c>
      <c r="AW60" s="41">
        <f t="shared" si="64"/>
        <v>0</v>
      </c>
      <c r="AX60" s="41">
        <f t="shared" si="65"/>
        <v>0</v>
      </c>
      <c r="AY60" s="44" t="s">
        <v>225</v>
      </c>
      <c r="AZ60" s="44" t="s">
        <v>229</v>
      </c>
      <c r="BA60" s="31" t="s">
        <v>230</v>
      </c>
      <c r="BC60" s="41">
        <f t="shared" si="66"/>
        <v>0</v>
      </c>
      <c r="BD60" s="41">
        <f t="shared" si="67"/>
        <v>0</v>
      </c>
      <c r="BE60" s="41">
        <v>0</v>
      </c>
      <c r="BF60" s="41">
        <f t="shared" si="68"/>
        <v>0</v>
      </c>
      <c r="BH60" s="21">
        <f t="shared" si="69"/>
        <v>0</v>
      </c>
      <c r="BI60" s="21">
        <f t="shared" si="70"/>
        <v>0</v>
      </c>
      <c r="BJ60" s="21">
        <f t="shared" si="71"/>
        <v>0</v>
      </c>
      <c r="BK60" s="21" t="s">
        <v>242</v>
      </c>
      <c r="BL60" s="41">
        <v>96</v>
      </c>
    </row>
    <row r="61" spans="1:64" ht="12.75">
      <c r="A61" s="4" t="s">
        <v>47</v>
      </c>
      <c r="B61" s="13" t="s">
        <v>106</v>
      </c>
      <c r="C61" s="134" t="s">
        <v>167</v>
      </c>
      <c r="D61" s="135"/>
      <c r="E61" s="13" t="s">
        <v>181</v>
      </c>
      <c r="F61" s="21">
        <v>87.75</v>
      </c>
      <c r="G61" s="102">
        <v>0</v>
      </c>
      <c r="H61" s="21">
        <f t="shared" si="48"/>
        <v>0</v>
      </c>
      <c r="I61" s="21">
        <f t="shared" si="49"/>
        <v>0</v>
      </c>
      <c r="J61" s="21">
        <f t="shared" si="50"/>
        <v>0</v>
      </c>
      <c r="K61" s="21">
        <v>0</v>
      </c>
      <c r="L61" s="21">
        <f t="shared" si="51"/>
        <v>0</v>
      </c>
      <c r="M61" s="35" t="s">
        <v>206</v>
      </c>
      <c r="N61" s="39"/>
      <c r="Z61" s="41">
        <f t="shared" si="52"/>
        <v>0</v>
      </c>
      <c r="AB61" s="41">
        <f t="shared" si="53"/>
        <v>0</v>
      </c>
      <c r="AC61" s="41">
        <f t="shared" si="54"/>
        <v>0</v>
      </c>
      <c r="AD61" s="41">
        <f t="shared" si="55"/>
        <v>0</v>
      </c>
      <c r="AE61" s="41">
        <f t="shared" si="56"/>
        <v>0</v>
      </c>
      <c r="AF61" s="41">
        <f t="shared" si="57"/>
        <v>0</v>
      </c>
      <c r="AG61" s="41">
        <f t="shared" si="58"/>
        <v>0</v>
      </c>
      <c r="AH61" s="41">
        <f t="shared" si="59"/>
        <v>0</v>
      </c>
      <c r="AI61" s="31"/>
      <c r="AJ61" s="21">
        <f t="shared" si="60"/>
        <v>0</v>
      </c>
      <c r="AK61" s="21">
        <f t="shared" si="61"/>
        <v>0</v>
      </c>
      <c r="AL61" s="21">
        <f t="shared" si="62"/>
        <v>0</v>
      </c>
      <c r="AN61" s="41">
        <v>21</v>
      </c>
      <c r="AO61" s="41">
        <f>G61*0</f>
        <v>0</v>
      </c>
      <c r="AP61" s="41">
        <f>G61*(1-0)</f>
        <v>0</v>
      </c>
      <c r="AQ61" s="42" t="s">
        <v>7</v>
      </c>
      <c r="AV61" s="41">
        <f t="shared" si="63"/>
        <v>0</v>
      </c>
      <c r="AW61" s="41">
        <f t="shared" si="64"/>
        <v>0</v>
      </c>
      <c r="AX61" s="41">
        <f t="shared" si="65"/>
        <v>0</v>
      </c>
      <c r="AY61" s="44" t="s">
        <v>225</v>
      </c>
      <c r="AZ61" s="44" t="s">
        <v>229</v>
      </c>
      <c r="BA61" s="31" t="s">
        <v>230</v>
      </c>
      <c r="BB61" s="31" t="s">
        <v>237</v>
      </c>
      <c r="BC61" s="41">
        <f t="shared" si="66"/>
        <v>0</v>
      </c>
      <c r="BD61" s="41">
        <f t="shared" si="67"/>
        <v>0</v>
      </c>
      <c r="BE61" s="41">
        <v>0</v>
      </c>
      <c r="BF61" s="41">
        <f t="shared" si="68"/>
        <v>0</v>
      </c>
      <c r="BH61" s="21">
        <f t="shared" si="69"/>
        <v>0</v>
      </c>
      <c r="BI61" s="21">
        <f t="shared" si="70"/>
        <v>0</v>
      </c>
      <c r="BJ61" s="21">
        <f t="shared" si="71"/>
        <v>0</v>
      </c>
      <c r="BK61" s="21" t="s">
        <v>242</v>
      </c>
      <c r="BL61" s="41">
        <v>96</v>
      </c>
    </row>
    <row r="62" spans="1:64" ht="12.75">
      <c r="A62" s="4" t="s">
        <v>48</v>
      </c>
      <c r="B62" s="13" t="s">
        <v>107</v>
      </c>
      <c r="C62" s="134" t="s">
        <v>168</v>
      </c>
      <c r="D62" s="135"/>
      <c r="E62" s="13" t="s">
        <v>182</v>
      </c>
      <c r="F62" s="21">
        <v>1.8954</v>
      </c>
      <c r="G62" s="102">
        <v>0</v>
      </c>
      <c r="H62" s="21">
        <f t="shared" si="48"/>
        <v>0</v>
      </c>
      <c r="I62" s="21">
        <f t="shared" si="49"/>
        <v>0</v>
      </c>
      <c r="J62" s="21">
        <f t="shared" si="50"/>
        <v>0</v>
      </c>
      <c r="K62" s="21">
        <v>0</v>
      </c>
      <c r="L62" s="21">
        <f t="shared" si="51"/>
        <v>0</v>
      </c>
      <c r="M62" s="35" t="s">
        <v>206</v>
      </c>
      <c r="N62" s="39"/>
      <c r="Z62" s="41">
        <f t="shared" si="52"/>
        <v>0</v>
      </c>
      <c r="AB62" s="41">
        <f t="shared" si="53"/>
        <v>0</v>
      </c>
      <c r="AC62" s="41">
        <f t="shared" si="54"/>
        <v>0</v>
      </c>
      <c r="AD62" s="41">
        <f t="shared" si="55"/>
        <v>0</v>
      </c>
      <c r="AE62" s="41">
        <f t="shared" si="56"/>
        <v>0</v>
      </c>
      <c r="AF62" s="41">
        <f t="shared" si="57"/>
        <v>0</v>
      </c>
      <c r="AG62" s="41">
        <f t="shared" si="58"/>
        <v>0</v>
      </c>
      <c r="AH62" s="41">
        <f t="shared" si="59"/>
        <v>0</v>
      </c>
      <c r="AI62" s="31"/>
      <c r="AJ62" s="21">
        <f t="shared" si="60"/>
        <v>0</v>
      </c>
      <c r="AK62" s="21">
        <f t="shared" si="61"/>
        <v>0</v>
      </c>
      <c r="AL62" s="21">
        <f t="shared" si="62"/>
        <v>0</v>
      </c>
      <c r="AN62" s="41">
        <v>21</v>
      </c>
      <c r="AO62" s="41">
        <f>G62*0</f>
        <v>0</v>
      </c>
      <c r="AP62" s="41">
        <f>G62*(1-0)</f>
        <v>0</v>
      </c>
      <c r="AQ62" s="42" t="s">
        <v>11</v>
      </c>
      <c r="AV62" s="41">
        <f t="shared" si="63"/>
        <v>0</v>
      </c>
      <c r="AW62" s="41">
        <f t="shared" si="64"/>
        <v>0</v>
      </c>
      <c r="AX62" s="41">
        <f t="shared" si="65"/>
        <v>0</v>
      </c>
      <c r="AY62" s="44" t="s">
        <v>225</v>
      </c>
      <c r="AZ62" s="44" t="s">
        <v>229</v>
      </c>
      <c r="BA62" s="31" t="s">
        <v>230</v>
      </c>
      <c r="BC62" s="41">
        <f t="shared" si="66"/>
        <v>0</v>
      </c>
      <c r="BD62" s="41">
        <f t="shared" si="67"/>
        <v>0</v>
      </c>
      <c r="BE62" s="41">
        <v>0</v>
      </c>
      <c r="BF62" s="41">
        <f t="shared" si="68"/>
        <v>0</v>
      </c>
      <c r="BH62" s="21">
        <f t="shared" si="69"/>
        <v>0</v>
      </c>
      <c r="BI62" s="21">
        <f t="shared" si="70"/>
        <v>0</v>
      </c>
      <c r="BJ62" s="21">
        <f t="shared" si="71"/>
        <v>0</v>
      </c>
      <c r="BK62" s="21" t="s">
        <v>242</v>
      </c>
      <c r="BL62" s="41">
        <v>96</v>
      </c>
    </row>
    <row r="63" spans="1:64" ht="12.75">
      <c r="A63" s="4" t="s">
        <v>49</v>
      </c>
      <c r="B63" s="13" t="s">
        <v>108</v>
      </c>
      <c r="C63" s="134" t="s">
        <v>169</v>
      </c>
      <c r="D63" s="135"/>
      <c r="E63" s="13" t="s">
        <v>182</v>
      </c>
      <c r="F63" s="21">
        <v>37.2112</v>
      </c>
      <c r="G63" s="102">
        <v>0</v>
      </c>
      <c r="H63" s="21">
        <f t="shared" si="48"/>
        <v>0</v>
      </c>
      <c r="I63" s="21">
        <f t="shared" si="49"/>
        <v>0</v>
      </c>
      <c r="J63" s="21">
        <f t="shared" si="50"/>
        <v>0</v>
      </c>
      <c r="K63" s="21">
        <v>0</v>
      </c>
      <c r="L63" s="21">
        <f t="shared" si="51"/>
        <v>0</v>
      </c>
      <c r="M63" s="35" t="s">
        <v>206</v>
      </c>
      <c r="N63" s="39"/>
      <c r="Z63" s="41">
        <f t="shared" si="52"/>
        <v>0</v>
      </c>
      <c r="AB63" s="41">
        <f t="shared" si="53"/>
        <v>0</v>
      </c>
      <c r="AC63" s="41">
        <f t="shared" si="54"/>
        <v>0</v>
      </c>
      <c r="AD63" s="41">
        <f t="shared" si="55"/>
        <v>0</v>
      </c>
      <c r="AE63" s="41">
        <f t="shared" si="56"/>
        <v>0</v>
      </c>
      <c r="AF63" s="41">
        <f t="shared" si="57"/>
        <v>0</v>
      </c>
      <c r="AG63" s="41">
        <f t="shared" si="58"/>
        <v>0</v>
      </c>
      <c r="AH63" s="41">
        <f t="shared" si="59"/>
        <v>0</v>
      </c>
      <c r="AI63" s="31"/>
      <c r="AJ63" s="21">
        <f t="shared" si="60"/>
        <v>0</v>
      </c>
      <c r="AK63" s="21">
        <f t="shared" si="61"/>
        <v>0</v>
      </c>
      <c r="AL63" s="21">
        <f t="shared" si="62"/>
        <v>0</v>
      </c>
      <c r="AN63" s="41">
        <v>21</v>
      </c>
      <c r="AO63" s="41">
        <f>G63*0</f>
        <v>0</v>
      </c>
      <c r="AP63" s="41">
        <f>G63*(1-0)</f>
        <v>0</v>
      </c>
      <c r="AQ63" s="42" t="s">
        <v>11</v>
      </c>
      <c r="AV63" s="41">
        <f t="shared" si="63"/>
        <v>0</v>
      </c>
      <c r="AW63" s="41">
        <f t="shared" si="64"/>
        <v>0</v>
      </c>
      <c r="AX63" s="41">
        <f t="shared" si="65"/>
        <v>0</v>
      </c>
      <c r="AY63" s="44" t="s">
        <v>225</v>
      </c>
      <c r="AZ63" s="44" t="s">
        <v>229</v>
      </c>
      <c r="BA63" s="31" t="s">
        <v>230</v>
      </c>
      <c r="BC63" s="41">
        <f t="shared" si="66"/>
        <v>0</v>
      </c>
      <c r="BD63" s="41">
        <f t="shared" si="67"/>
        <v>0</v>
      </c>
      <c r="BE63" s="41">
        <v>0</v>
      </c>
      <c r="BF63" s="41">
        <f t="shared" si="68"/>
        <v>0</v>
      </c>
      <c r="BH63" s="21">
        <f t="shared" si="69"/>
        <v>0</v>
      </c>
      <c r="BI63" s="21">
        <f t="shared" si="70"/>
        <v>0</v>
      </c>
      <c r="BJ63" s="21">
        <f t="shared" si="71"/>
        <v>0</v>
      </c>
      <c r="BK63" s="21" t="s">
        <v>242</v>
      </c>
      <c r="BL63" s="41">
        <v>96</v>
      </c>
    </row>
    <row r="64" spans="1:64" ht="12.75">
      <c r="A64" s="4" t="s">
        <v>50</v>
      </c>
      <c r="B64" s="13" t="s">
        <v>109</v>
      </c>
      <c r="C64" s="134" t="s">
        <v>170</v>
      </c>
      <c r="D64" s="135"/>
      <c r="E64" s="13" t="s">
        <v>182</v>
      </c>
      <c r="F64" s="21">
        <v>9.3028</v>
      </c>
      <c r="G64" s="102">
        <v>0</v>
      </c>
      <c r="H64" s="21">
        <f t="shared" si="48"/>
        <v>0</v>
      </c>
      <c r="I64" s="21">
        <f t="shared" si="49"/>
        <v>0</v>
      </c>
      <c r="J64" s="21">
        <f t="shared" si="50"/>
        <v>0</v>
      </c>
      <c r="K64" s="21">
        <v>0</v>
      </c>
      <c r="L64" s="21">
        <f t="shared" si="51"/>
        <v>0</v>
      </c>
      <c r="M64" s="35" t="s">
        <v>206</v>
      </c>
      <c r="N64" s="39"/>
      <c r="Z64" s="41">
        <f t="shared" si="52"/>
        <v>0</v>
      </c>
      <c r="AB64" s="41">
        <f t="shared" si="53"/>
        <v>0</v>
      </c>
      <c r="AC64" s="41">
        <f t="shared" si="54"/>
        <v>0</v>
      </c>
      <c r="AD64" s="41">
        <f t="shared" si="55"/>
        <v>0</v>
      </c>
      <c r="AE64" s="41">
        <f t="shared" si="56"/>
        <v>0</v>
      </c>
      <c r="AF64" s="41">
        <f t="shared" si="57"/>
        <v>0</v>
      </c>
      <c r="AG64" s="41">
        <f t="shared" si="58"/>
        <v>0</v>
      </c>
      <c r="AH64" s="41">
        <f t="shared" si="59"/>
        <v>0</v>
      </c>
      <c r="AI64" s="31"/>
      <c r="AJ64" s="21">
        <f t="shared" si="60"/>
        <v>0</v>
      </c>
      <c r="AK64" s="21">
        <f t="shared" si="61"/>
        <v>0</v>
      </c>
      <c r="AL64" s="21">
        <f t="shared" si="62"/>
        <v>0</v>
      </c>
      <c r="AN64" s="41">
        <v>21</v>
      </c>
      <c r="AO64" s="41">
        <f>G64*0.0101215845155557</f>
        <v>0</v>
      </c>
      <c r="AP64" s="41">
        <f>G64*(1-0.0101215845155557)</f>
        <v>0</v>
      </c>
      <c r="AQ64" s="42" t="s">
        <v>11</v>
      </c>
      <c r="AV64" s="41">
        <f t="shared" si="63"/>
        <v>0</v>
      </c>
      <c r="AW64" s="41">
        <f t="shared" si="64"/>
        <v>0</v>
      </c>
      <c r="AX64" s="41">
        <f t="shared" si="65"/>
        <v>0</v>
      </c>
      <c r="AY64" s="44" t="s">
        <v>225</v>
      </c>
      <c r="AZ64" s="44" t="s">
        <v>229</v>
      </c>
      <c r="BA64" s="31" t="s">
        <v>230</v>
      </c>
      <c r="BC64" s="41">
        <f t="shared" si="66"/>
        <v>0</v>
      </c>
      <c r="BD64" s="41">
        <f t="shared" si="67"/>
        <v>0</v>
      </c>
      <c r="BE64" s="41">
        <v>0</v>
      </c>
      <c r="BF64" s="41">
        <f t="shared" si="68"/>
        <v>0</v>
      </c>
      <c r="BH64" s="21">
        <f t="shared" si="69"/>
        <v>0</v>
      </c>
      <c r="BI64" s="21">
        <f t="shared" si="70"/>
        <v>0</v>
      </c>
      <c r="BJ64" s="21">
        <f t="shared" si="71"/>
        <v>0</v>
      </c>
      <c r="BK64" s="21" t="s">
        <v>242</v>
      </c>
      <c r="BL64" s="41">
        <v>96</v>
      </c>
    </row>
    <row r="65" spans="1:64" ht="12.75">
      <c r="A65" s="4" t="s">
        <v>51</v>
      </c>
      <c r="B65" s="13" t="s">
        <v>110</v>
      </c>
      <c r="C65" s="134" t="s">
        <v>171</v>
      </c>
      <c r="D65" s="135"/>
      <c r="E65" s="13" t="s">
        <v>182</v>
      </c>
      <c r="F65" s="21">
        <v>9.3028</v>
      </c>
      <c r="G65" s="102">
        <v>0</v>
      </c>
      <c r="H65" s="21">
        <f t="shared" si="48"/>
        <v>0</v>
      </c>
      <c r="I65" s="21">
        <f t="shared" si="49"/>
        <v>0</v>
      </c>
      <c r="J65" s="21">
        <f t="shared" si="50"/>
        <v>0</v>
      </c>
      <c r="K65" s="21">
        <v>0</v>
      </c>
      <c r="L65" s="21">
        <f t="shared" si="51"/>
        <v>0</v>
      </c>
      <c r="M65" s="35" t="s">
        <v>206</v>
      </c>
      <c r="N65" s="39"/>
      <c r="Z65" s="41">
        <f t="shared" si="52"/>
        <v>0</v>
      </c>
      <c r="AB65" s="41">
        <f t="shared" si="53"/>
        <v>0</v>
      </c>
      <c r="AC65" s="41">
        <f t="shared" si="54"/>
        <v>0</v>
      </c>
      <c r="AD65" s="41">
        <f t="shared" si="55"/>
        <v>0</v>
      </c>
      <c r="AE65" s="41">
        <f t="shared" si="56"/>
        <v>0</v>
      </c>
      <c r="AF65" s="41">
        <f t="shared" si="57"/>
        <v>0</v>
      </c>
      <c r="AG65" s="41">
        <f t="shared" si="58"/>
        <v>0</v>
      </c>
      <c r="AH65" s="41">
        <f t="shared" si="59"/>
        <v>0</v>
      </c>
      <c r="AI65" s="31"/>
      <c r="AJ65" s="21">
        <f t="shared" si="60"/>
        <v>0</v>
      </c>
      <c r="AK65" s="21">
        <f t="shared" si="61"/>
        <v>0</v>
      </c>
      <c r="AL65" s="21">
        <f t="shared" si="62"/>
        <v>0</v>
      </c>
      <c r="AN65" s="41">
        <v>21</v>
      </c>
      <c r="AO65" s="41">
        <f>G65*0</f>
        <v>0</v>
      </c>
      <c r="AP65" s="41">
        <f>G65*(1-0)</f>
        <v>0</v>
      </c>
      <c r="AQ65" s="42" t="s">
        <v>11</v>
      </c>
      <c r="AV65" s="41">
        <f t="shared" si="63"/>
        <v>0</v>
      </c>
      <c r="AW65" s="41">
        <f t="shared" si="64"/>
        <v>0</v>
      </c>
      <c r="AX65" s="41">
        <f t="shared" si="65"/>
        <v>0</v>
      </c>
      <c r="AY65" s="44" t="s">
        <v>225</v>
      </c>
      <c r="AZ65" s="44" t="s">
        <v>229</v>
      </c>
      <c r="BA65" s="31" t="s">
        <v>230</v>
      </c>
      <c r="BC65" s="41">
        <f t="shared" si="66"/>
        <v>0</v>
      </c>
      <c r="BD65" s="41">
        <f t="shared" si="67"/>
        <v>0</v>
      </c>
      <c r="BE65" s="41">
        <v>0</v>
      </c>
      <c r="BF65" s="41">
        <f t="shared" si="68"/>
        <v>0</v>
      </c>
      <c r="BH65" s="21">
        <f t="shared" si="69"/>
        <v>0</v>
      </c>
      <c r="BI65" s="21">
        <f t="shared" si="70"/>
        <v>0</v>
      </c>
      <c r="BJ65" s="21">
        <f t="shared" si="71"/>
        <v>0</v>
      </c>
      <c r="BK65" s="21" t="s">
        <v>242</v>
      </c>
      <c r="BL65" s="41">
        <v>96</v>
      </c>
    </row>
    <row r="66" spans="1:64" ht="12.75">
      <c r="A66" s="4" t="s">
        <v>52</v>
      </c>
      <c r="B66" s="13" t="s">
        <v>111</v>
      </c>
      <c r="C66" s="134" t="s">
        <v>172</v>
      </c>
      <c r="D66" s="135"/>
      <c r="E66" s="13" t="s">
        <v>182</v>
      </c>
      <c r="F66" s="21">
        <v>9.3028</v>
      </c>
      <c r="G66" s="102">
        <v>0</v>
      </c>
      <c r="H66" s="21">
        <f t="shared" si="48"/>
        <v>0</v>
      </c>
      <c r="I66" s="21">
        <f t="shared" si="49"/>
        <v>0</v>
      </c>
      <c r="J66" s="21">
        <f t="shared" si="50"/>
        <v>0</v>
      </c>
      <c r="K66" s="21">
        <v>0</v>
      </c>
      <c r="L66" s="21">
        <f t="shared" si="51"/>
        <v>0</v>
      </c>
      <c r="M66" s="35" t="s">
        <v>206</v>
      </c>
      <c r="N66" s="39"/>
      <c r="Z66" s="41">
        <f t="shared" si="52"/>
        <v>0</v>
      </c>
      <c r="AB66" s="41">
        <f t="shared" si="53"/>
        <v>0</v>
      </c>
      <c r="AC66" s="41">
        <f t="shared" si="54"/>
        <v>0</v>
      </c>
      <c r="AD66" s="41">
        <f t="shared" si="55"/>
        <v>0</v>
      </c>
      <c r="AE66" s="41">
        <f t="shared" si="56"/>
        <v>0</v>
      </c>
      <c r="AF66" s="41">
        <f t="shared" si="57"/>
        <v>0</v>
      </c>
      <c r="AG66" s="41">
        <f t="shared" si="58"/>
        <v>0</v>
      </c>
      <c r="AH66" s="41">
        <f t="shared" si="59"/>
        <v>0</v>
      </c>
      <c r="AI66" s="31"/>
      <c r="AJ66" s="21">
        <f t="shared" si="60"/>
        <v>0</v>
      </c>
      <c r="AK66" s="21">
        <f t="shared" si="61"/>
        <v>0</v>
      </c>
      <c r="AL66" s="21">
        <f t="shared" si="62"/>
        <v>0</v>
      </c>
      <c r="AN66" s="41">
        <v>21</v>
      </c>
      <c r="AO66" s="41">
        <f>G66*0</f>
        <v>0</v>
      </c>
      <c r="AP66" s="41">
        <f>G66*(1-0)</f>
        <v>0</v>
      </c>
      <c r="AQ66" s="42" t="s">
        <v>11</v>
      </c>
      <c r="AV66" s="41">
        <f t="shared" si="63"/>
        <v>0</v>
      </c>
      <c r="AW66" s="41">
        <f t="shared" si="64"/>
        <v>0</v>
      </c>
      <c r="AX66" s="41">
        <f t="shared" si="65"/>
        <v>0</v>
      </c>
      <c r="AY66" s="44" t="s">
        <v>225</v>
      </c>
      <c r="AZ66" s="44" t="s">
        <v>229</v>
      </c>
      <c r="BA66" s="31" t="s">
        <v>230</v>
      </c>
      <c r="BC66" s="41">
        <f t="shared" si="66"/>
        <v>0</v>
      </c>
      <c r="BD66" s="41">
        <f t="shared" si="67"/>
        <v>0</v>
      </c>
      <c r="BE66" s="41">
        <v>0</v>
      </c>
      <c r="BF66" s="41">
        <f t="shared" si="68"/>
        <v>0</v>
      </c>
      <c r="BH66" s="21">
        <f t="shared" si="69"/>
        <v>0</v>
      </c>
      <c r="BI66" s="21">
        <f t="shared" si="70"/>
        <v>0</v>
      </c>
      <c r="BJ66" s="21">
        <f t="shared" si="71"/>
        <v>0</v>
      </c>
      <c r="BK66" s="21" t="s">
        <v>242</v>
      </c>
      <c r="BL66" s="41">
        <v>96</v>
      </c>
    </row>
    <row r="67" spans="1:64" ht="12.75">
      <c r="A67" s="4" t="s">
        <v>53</v>
      </c>
      <c r="B67" s="13" t="s">
        <v>112</v>
      </c>
      <c r="C67" s="134" t="s">
        <v>173</v>
      </c>
      <c r="D67" s="135"/>
      <c r="E67" s="13" t="s">
        <v>182</v>
      </c>
      <c r="F67" s="21">
        <v>9.3028</v>
      </c>
      <c r="G67" s="102">
        <v>0</v>
      </c>
      <c r="H67" s="21">
        <f t="shared" si="48"/>
        <v>0</v>
      </c>
      <c r="I67" s="21">
        <f t="shared" si="49"/>
        <v>0</v>
      </c>
      <c r="J67" s="21">
        <f t="shared" si="50"/>
        <v>0</v>
      </c>
      <c r="K67" s="21">
        <v>0</v>
      </c>
      <c r="L67" s="21">
        <f t="shared" si="51"/>
        <v>0</v>
      </c>
      <c r="M67" s="35" t="s">
        <v>206</v>
      </c>
      <c r="N67" s="39"/>
      <c r="Z67" s="41">
        <f t="shared" si="52"/>
        <v>0</v>
      </c>
      <c r="AB67" s="41">
        <f t="shared" si="53"/>
        <v>0</v>
      </c>
      <c r="AC67" s="41">
        <f t="shared" si="54"/>
        <v>0</v>
      </c>
      <c r="AD67" s="41">
        <f t="shared" si="55"/>
        <v>0</v>
      </c>
      <c r="AE67" s="41">
        <f t="shared" si="56"/>
        <v>0</v>
      </c>
      <c r="AF67" s="41">
        <f t="shared" si="57"/>
        <v>0</v>
      </c>
      <c r="AG67" s="41">
        <f t="shared" si="58"/>
        <v>0</v>
      </c>
      <c r="AH67" s="41">
        <f t="shared" si="59"/>
        <v>0</v>
      </c>
      <c r="AI67" s="31"/>
      <c r="AJ67" s="21">
        <f t="shared" si="60"/>
        <v>0</v>
      </c>
      <c r="AK67" s="21">
        <f t="shared" si="61"/>
        <v>0</v>
      </c>
      <c r="AL67" s="21">
        <f t="shared" si="62"/>
        <v>0</v>
      </c>
      <c r="AN67" s="41">
        <v>21</v>
      </c>
      <c r="AO67" s="41">
        <f>G67*0</f>
        <v>0</v>
      </c>
      <c r="AP67" s="41">
        <f>G67*(1-0)</f>
        <v>0</v>
      </c>
      <c r="AQ67" s="42" t="s">
        <v>11</v>
      </c>
      <c r="AV67" s="41">
        <f t="shared" si="63"/>
        <v>0</v>
      </c>
      <c r="AW67" s="41">
        <f t="shared" si="64"/>
        <v>0</v>
      </c>
      <c r="AX67" s="41">
        <f t="shared" si="65"/>
        <v>0</v>
      </c>
      <c r="AY67" s="44" t="s">
        <v>225</v>
      </c>
      <c r="AZ67" s="44" t="s">
        <v>229</v>
      </c>
      <c r="BA67" s="31" t="s">
        <v>230</v>
      </c>
      <c r="BC67" s="41">
        <f t="shared" si="66"/>
        <v>0</v>
      </c>
      <c r="BD67" s="41">
        <f t="shared" si="67"/>
        <v>0</v>
      </c>
      <c r="BE67" s="41">
        <v>0</v>
      </c>
      <c r="BF67" s="41">
        <f t="shared" si="68"/>
        <v>0</v>
      </c>
      <c r="BH67" s="21">
        <f t="shared" si="69"/>
        <v>0</v>
      </c>
      <c r="BI67" s="21">
        <f t="shared" si="70"/>
        <v>0</v>
      </c>
      <c r="BJ67" s="21">
        <f t="shared" si="71"/>
        <v>0</v>
      </c>
      <c r="BK67" s="21" t="s">
        <v>242</v>
      </c>
      <c r="BL67" s="41">
        <v>96</v>
      </c>
    </row>
    <row r="68" spans="1:64" ht="12.75">
      <c r="A68" s="7" t="s">
        <v>54</v>
      </c>
      <c r="B68" s="16" t="s">
        <v>113</v>
      </c>
      <c r="C68" s="140" t="s">
        <v>174</v>
      </c>
      <c r="D68" s="141"/>
      <c r="E68" s="16" t="s">
        <v>182</v>
      </c>
      <c r="F68" s="23">
        <v>9.3028</v>
      </c>
      <c r="G68" s="104">
        <v>0</v>
      </c>
      <c r="H68" s="23">
        <f t="shared" si="48"/>
        <v>0</v>
      </c>
      <c r="I68" s="23">
        <f t="shared" si="49"/>
        <v>0</v>
      </c>
      <c r="J68" s="23">
        <f t="shared" si="50"/>
        <v>0</v>
      </c>
      <c r="K68" s="23">
        <v>0</v>
      </c>
      <c r="L68" s="23">
        <f t="shared" si="51"/>
        <v>0</v>
      </c>
      <c r="M68" s="38" t="s">
        <v>206</v>
      </c>
      <c r="N68" s="39"/>
      <c r="Z68" s="41">
        <f t="shared" si="52"/>
        <v>0</v>
      </c>
      <c r="AB68" s="41">
        <f t="shared" si="53"/>
        <v>0</v>
      </c>
      <c r="AC68" s="41">
        <f t="shared" si="54"/>
        <v>0</v>
      </c>
      <c r="AD68" s="41">
        <f t="shared" si="55"/>
        <v>0</v>
      </c>
      <c r="AE68" s="41">
        <f t="shared" si="56"/>
        <v>0</v>
      </c>
      <c r="AF68" s="41">
        <f t="shared" si="57"/>
        <v>0</v>
      </c>
      <c r="AG68" s="41">
        <f t="shared" si="58"/>
        <v>0</v>
      </c>
      <c r="AH68" s="41">
        <f t="shared" si="59"/>
        <v>0</v>
      </c>
      <c r="AI68" s="31"/>
      <c r="AJ68" s="21">
        <f t="shared" si="60"/>
        <v>0</v>
      </c>
      <c r="AK68" s="21">
        <f t="shared" si="61"/>
        <v>0</v>
      </c>
      <c r="AL68" s="21">
        <f t="shared" si="62"/>
        <v>0</v>
      </c>
      <c r="AN68" s="41">
        <v>21</v>
      </c>
      <c r="AO68" s="41">
        <f>G68*0</f>
        <v>0</v>
      </c>
      <c r="AP68" s="41">
        <f>G68*(1-0)</f>
        <v>0</v>
      </c>
      <c r="AQ68" s="42" t="s">
        <v>11</v>
      </c>
      <c r="AV68" s="41">
        <f t="shared" si="63"/>
        <v>0</v>
      </c>
      <c r="AW68" s="41">
        <f t="shared" si="64"/>
        <v>0</v>
      </c>
      <c r="AX68" s="41">
        <f t="shared" si="65"/>
        <v>0</v>
      </c>
      <c r="AY68" s="44" t="s">
        <v>225</v>
      </c>
      <c r="AZ68" s="44" t="s">
        <v>229</v>
      </c>
      <c r="BA68" s="31" t="s">
        <v>230</v>
      </c>
      <c r="BB68" s="31" t="s">
        <v>237</v>
      </c>
      <c r="BC68" s="41">
        <f t="shared" si="66"/>
        <v>0</v>
      </c>
      <c r="BD68" s="41">
        <f t="shared" si="67"/>
        <v>0</v>
      </c>
      <c r="BE68" s="41">
        <v>0</v>
      </c>
      <c r="BF68" s="41">
        <f t="shared" si="68"/>
        <v>0</v>
      </c>
      <c r="BH68" s="21">
        <f t="shared" si="69"/>
        <v>0</v>
      </c>
      <c r="BI68" s="21">
        <f t="shared" si="70"/>
        <v>0</v>
      </c>
      <c r="BJ68" s="21">
        <f t="shared" si="71"/>
        <v>0</v>
      </c>
      <c r="BK68" s="21" t="s">
        <v>242</v>
      </c>
      <c r="BL68" s="41">
        <v>96</v>
      </c>
    </row>
    <row r="69" spans="1:13" ht="12.75">
      <c r="A69" s="8"/>
      <c r="B69" s="8"/>
      <c r="C69" s="8"/>
      <c r="D69" s="8"/>
      <c r="E69" s="8"/>
      <c r="F69" s="8"/>
      <c r="G69" s="8"/>
      <c r="H69" s="142" t="s">
        <v>195</v>
      </c>
      <c r="I69" s="113"/>
      <c r="J69" s="48">
        <f>J12+J19+J25+J29+J42+J48+J51+J55+J57</f>
        <v>0</v>
      </c>
      <c r="K69" s="8"/>
      <c r="L69" s="8"/>
      <c r="M69" s="8"/>
    </row>
    <row r="70" ht="11.25" customHeight="1">
      <c r="A70" s="9" t="s">
        <v>55</v>
      </c>
    </row>
    <row r="71" spans="1:13" ht="12.75">
      <c r="A71" s="120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</row>
  </sheetData>
  <sheetProtection password="CF62" sheet="1"/>
  <mergeCells count="88">
    <mergeCell ref="C68:D68"/>
    <mergeCell ref="H69:I69"/>
    <mergeCell ref="A71:M71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10:D10"/>
    <mergeCell ref="H10:J10"/>
    <mergeCell ref="K10:L10"/>
    <mergeCell ref="C11:D11"/>
    <mergeCell ref="C12:D12"/>
    <mergeCell ref="C13:D13"/>
    <mergeCell ref="A8:B9"/>
    <mergeCell ref="C8:D9"/>
    <mergeCell ref="E8:F9"/>
    <mergeCell ref="G8:G9"/>
    <mergeCell ref="H8:H9"/>
    <mergeCell ref="I8:M9"/>
    <mergeCell ref="A6:B7"/>
    <mergeCell ref="C6:D7"/>
    <mergeCell ref="E6:F7"/>
    <mergeCell ref="G6:G7"/>
    <mergeCell ref="H6:H7"/>
    <mergeCell ref="I6:M7"/>
    <mergeCell ref="A4:B5"/>
    <mergeCell ref="C4:D5"/>
    <mergeCell ref="E4:F5"/>
    <mergeCell ref="G4:G5"/>
    <mergeCell ref="H4:H5"/>
    <mergeCell ref="I4:M5"/>
    <mergeCell ref="A1:M1"/>
    <mergeCell ref="A2:B3"/>
    <mergeCell ref="C2:D3"/>
    <mergeCell ref="E2:F3"/>
    <mergeCell ref="G2:G3"/>
    <mergeCell ref="H2:H3"/>
    <mergeCell ref="I2:M3"/>
  </mergeCells>
  <printOptions/>
  <pageMargins left="0.394" right="0.394" top="0.591" bottom="0.591" header="0.5" footer="0.5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G9"/>
    </sheetView>
  </sheetViews>
  <sheetFormatPr defaultColWidth="11.57421875" defaultRowHeight="12.75"/>
  <cols>
    <col min="1" max="2" width="3.57421875" style="0" customWidth="1"/>
    <col min="3" max="3" width="57.140625" style="0" customWidth="1"/>
    <col min="4" max="4" width="22.140625" style="0" customWidth="1"/>
    <col min="5" max="5" width="21.00390625" style="0" customWidth="1"/>
    <col min="6" max="6" width="20.8515625" style="0" customWidth="1"/>
    <col min="7" max="7" width="37.140625" style="0" customWidth="1"/>
    <col min="8" max="9" width="0" style="0" hidden="1" customWidth="1"/>
  </cols>
  <sheetData>
    <row r="1" spans="1:7" ht="72.75" customHeight="1">
      <c r="A1" s="106" t="s">
        <v>245</v>
      </c>
      <c r="B1" s="107"/>
      <c r="C1" s="107"/>
      <c r="D1" s="107"/>
      <c r="E1" s="107"/>
      <c r="F1" s="107"/>
      <c r="G1" s="107"/>
    </row>
    <row r="2" spans="1:8" ht="12.75">
      <c r="A2" s="108" t="s">
        <v>1</v>
      </c>
      <c r="B2" s="109"/>
      <c r="C2" s="112" t="str">
        <f>'Stavební rozpočet'!C2</f>
        <v>Výměna části oken a dveří v areálu Gymnázia Aš</v>
      </c>
      <c r="D2" s="115" t="s">
        <v>175</v>
      </c>
      <c r="E2" s="115" t="s">
        <v>6</v>
      </c>
      <c r="F2" s="116" t="s">
        <v>189</v>
      </c>
      <c r="G2" s="143" t="str">
        <f>'Stavební rozpočet'!I2</f>
        <v>Gymnázium Aš, příspěvková organizace, Hlavní 106,</v>
      </c>
      <c r="H2" s="39"/>
    </row>
    <row r="3" spans="1:8" ht="12.75">
      <c r="A3" s="110"/>
      <c r="B3" s="111"/>
      <c r="C3" s="114"/>
      <c r="D3" s="111"/>
      <c r="E3" s="111"/>
      <c r="F3" s="111"/>
      <c r="G3" s="118"/>
      <c r="H3" s="39"/>
    </row>
    <row r="4" spans="1:8" ht="12.75">
      <c r="A4" s="119" t="s">
        <v>2</v>
      </c>
      <c r="B4" s="111"/>
      <c r="C4" s="120" t="str">
        <f>'Stavební rozpočet'!C4</f>
        <v>Školní budova</v>
      </c>
      <c r="D4" s="121" t="s">
        <v>176</v>
      </c>
      <c r="E4" s="121" t="s">
        <v>6</v>
      </c>
      <c r="F4" s="120" t="s">
        <v>190</v>
      </c>
      <c r="G4" s="144" t="str">
        <f>'Stavební rozpočet'!I4</f>
        <v>Ing. Jarosklav Radovnický</v>
      </c>
      <c r="H4" s="39"/>
    </row>
    <row r="5" spans="1:8" ht="12.75">
      <c r="A5" s="110"/>
      <c r="B5" s="111"/>
      <c r="C5" s="111"/>
      <c r="D5" s="111"/>
      <c r="E5" s="111"/>
      <c r="F5" s="111"/>
      <c r="G5" s="118"/>
      <c r="H5" s="39"/>
    </row>
    <row r="6" spans="1:8" ht="12.75">
      <c r="A6" s="119" t="s">
        <v>3</v>
      </c>
      <c r="B6" s="111"/>
      <c r="C6" s="120" t="str">
        <f>'Stavební rozpočet'!C6</f>
        <v>p.č. 2798/3,2805/9, st.2728, 2729, 2730, 2731 v k.ú. Aš (600521)</v>
      </c>
      <c r="D6" s="121" t="s">
        <v>177</v>
      </c>
      <c r="E6" s="121" t="s">
        <v>6</v>
      </c>
      <c r="F6" s="120" t="s">
        <v>191</v>
      </c>
      <c r="G6" s="144" t="str">
        <f>'Stavební rozpočet'!I6</f>
        <v> </v>
      </c>
      <c r="H6" s="39"/>
    </row>
    <row r="7" spans="1:8" ht="12.75">
      <c r="A7" s="110"/>
      <c r="B7" s="111"/>
      <c r="C7" s="111"/>
      <c r="D7" s="111"/>
      <c r="E7" s="111"/>
      <c r="F7" s="111"/>
      <c r="G7" s="118"/>
      <c r="H7" s="39"/>
    </row>
    <row r="8" spans="1:8" ht="12.75">
      <c r="A8" s="119" t="s">
        <v>192</v>
      </c>
      <c r="B8" s="111"/>
      <c r="C8" s="120" t="str">
        <f>'Stavební rozpočet'!I8</f>
        <v>Ing. Jaroslav Radovnický</v>
      </c>
      <c r="D8" s="121" t="s">
        <v>178</v>
      </c>
      <c r="E8" s="121" t="s">
        <v>186</v>
      </c>
      <c r="F8" s="121" t="s">
        <v>178</v>
      </c>
      <c r="G8" s="144" t="str">
        <f>'Stavební rozpočet'!G8</f>
        <v>13.04.2021</v>
      </c>
      <c r="H8" s="39"/>
    </row>
    <row r="9" spans="1:8" ht="12.75">
      <c r="A9" s="122"/>
      <c r="B9" s="123"/>
      <c r="C9" s="123"/>
      <c r="D9" s="123"/>
      <c r="E9" s="123"/>
      <c r="F9" s="123"/>
      <c r="G9" s="124"/>
      <c r="H9" s="39"/>
    </row>
    <row r="10" spans="1:8" ht="12.75">
      <c r="A10" s="148" t="s">
        <v>56</v>
      </c>
      <c r="B10" s="149"/>
      <c r="C10" s="49" t="s">
        <v>117</v>
      </c>
      <c r="D10" s="52" t="s">
        <v>246</v>
      </c>
      <c r="E10" s="52" t="s">
        <v>247</v>
      </c>
      <c r="F10" s="52" t="s">
        <v>248</v>
      </c>
      <c r="G10" s="53" t="s">
        <v>249</v>
      </c>
      <c r="H10" s="40"/>
    </row>
    <row r="11" spans="1:9" ht="12.75">
      <c r="A11" s="150" t="s">
        <v>57</v>
      </c>
      <c r="B11" s="151"/>
      <c r="C11" s="50" t="s">
        <v>119</v>
      </c>
      <c r="D11" s="55">
        <f>'Stavební rozpočet'!H12</f>
        <v>0</v>
      </c>
      <c r="E11" s="55">
        <f>'Stavební rozpočet'!I12</f>
        <v>0</v>
      </c>
      <c r="F11" s="55">
        <f>'Stavební rozpočet'!J12</f>
        <v>0</v>
      </c>
      <c r="G11" s="57">
        <f>'Stavební rozpočet'!L12</f>
        <v>1.9867167000000003</v>
      </c>
      <c r="H11" s="54" t="s">
        <v>250</v>
      </c>
      <c r="I11" s="41">
        <f aca="true" t="shared" si="0" ref="I11:I19">IF(G11="F",0,F11)</f>
        <v>0</v>
      </c>
    </row>
    <row r="12" spans="1:9" ht="12.75">
      <c r="A12" s="145" t="s">
        <v>64</v>
      </c>
      <c r="B12" s="111"/>
      <c r="C12" s="17" t="s">
        <v>126</v>
      </c>
      <c r="D12" s="41">
        <f>'Stavební rozpočet'!H19</f>
        <v>0</v>
      </c>
      <c r="E12" s="41">
        <f>'Stavební rozpočet'!I19</f>
        <v>0</v>
      </c>
      <c r="F12" s="41">
        <f>'Stavební rozpočet'!J19</f>
        <v>0</v>
      </c>
      <c r="G12" s="58">
        <f>'Stavební rozpočet'!L19</f>
        <v>1.7545535499999998</v>
      </c>
      <c r="H12" s="54" t="s">
        <v>250</v>
      </c>
      <c r="I12" s="41">
        <f t="shared" si="0"/>
        <v>0</v>
      </c>
    </row>
    <row r="13" spans="1:9" ht="12.75">
      <c r="A13" s="145" t="s">
        <v>70</v>
      </c>
      <c r="B13" s="111"/>
      <c r="C13" s="17" t="s">
        <v>132</v>
      </c>
      <c r="D13" s="41">
        <f>'Stavební rozpočet'!H25</f>
        <v>0</v>
      </c>
      <c r="E13" s="41">
        <f>'Stavební rozpočet'!I25</f>
        <v>0</v>
      </c>
      <c r="F13" s="41">
        <f>'Stavební rozpočet'!J25</f>
        <v>0</v>
      </c>
      <c r="G13" s="58">
        <f>'Stavební rozpočet'!L25</f>
        <v>0.4229455</v>
      </c>
      <c r="H13" s="54" t="s">
        <v>250</v>
      </c>
      <c r="I13" s="41">
        <f t="shared" si="0"/>
        <v>0</v>
      </c>
    </row>
    <row r="14" spans="1:9" ht="12.75">
      <c r="A14" s="145" t="s">
        <v>74</v>
      </c>
      <c r="B14" s="111"/>
      <c r="C14" s="17" t="s">
        <v>136</v>
      </c>
      <c r="D14" s="41">
        <f>'Stavební rozpočet'!H29</f>
        <v>0</v>
      </c>
      <c r="E14" s="41">
        <f>'Stavební rozpočet'!I29</f>
        <v>0</v>
      </c>
      <c r="F14" s="41">
        <f>'Stavební rozpočet'!J29</f>
        <v>0</v>
      </c>
      <c r="G14" s="58">
        <f>'Stavební rozpočet'!L29</f>
        <v>6.320651475</v>
      </c>
      <c r="H14" s="54" t="s">
        <v>250</v>
      </c>
      <c r="I14" s="41">
        <f t="shared" si="0"/>
        <v>0</v>
      </c>
    </row>
    <row r="15" spans="1:9" ht="12.75">
      <c r="A15" s="145" t="s">
        <v>87</v>
      </c>
      <c r="B15" s="111"/>
      <c r="C15" s="17" t="s">
        <v>149</v>
      </c>
      <c r="D15" s="41">
        <f>'Stavební rozpočet'!H42</f>
        <v>0</v>
      </c>
      <c r="E15" s="41">
        <f>'Stavební rozpočet'!I42</f>
        <v>0</v>
      </c>
      <c r="F15" s="41">
        <f>'Stavební rozpočet'!J42</f>
        <v>0</v>
      </c>
      <c r="G15" s="58">
        <f>'Stavební rozpočet'!L42</f>
        <v>0.1016428</v>
      </c>
      <c r="H15" s="54" t="s">
        <v>250</v>
      </c>
      <c r="I15" s="41">
        <f t="shared" si="0"/>
        <v>0</v>
      </c>
    </row>
    <row r="16" spans="1:9" ht="12.75">
      <c r="A16" s="145" t="s">
        <v>93</v>
      </c>
      <c r="B16" s="111"/>
      <c r="C16" s="17" t="s">
        <v>155</v>
      </c>
      <c r="D16" s="41">
        <f>'Stavební rozpočet'!H48</f>
        <v>0</v>
      </c>
      <c r="E16" s="41">
        <f>'Stavební rozpočet'!I48</f>
        <v>0</v>
      </c>
      <c r="F16" s="41">
        <f>'Stavební rozpočet'!J48</f>
        <v>0</v>
      </c>
      <c r="G16" s="58">
        <f>'Stavební rozpočet'!L48</f>
        <v>0.1167747</v>
      </c>
      <c r="H16" s="54" t="s">
        <v>250</v>
      </c>
      <c r="I16" s="41">
        <f t="shared" si="0"/>
        <v>0</v>
      </c>
    </row>
    <row r="17" spans="1:9" ht="12.75">
      <c r="A17" s="145" t="s">
        <v>96</v>
      </c>
      <c r="B17" s="111"/>
      <c r="C17" s="17" t="s">
        <v>157</v>
      </c>
      <c r="D17" s="41">
        <f>'Stavební rozpočet'!H51</f>
        <v>0</v>
      </c>
      <c r="E17" s="41">
        <f>'Stavební rozpočet'!I51</f>
        <v>0</v>
      </c>
      <c r="F17" s="41">
        <f>'Stavební rozpočet'!J51</f>
        <v>0</v>
      </c>
      <c r="G17" s="58">
        <f>'Stavební rozpočet'!L51</f>
        <v>15.932106000000001</v>
      </c>
      <c r="H17" s="54" t="s">
        <v>250</v>
      </c>
      <c r="I17" s="41">
        <f t="shared" si="0"/>
        <v>0</v>
      </c>
    </row>
    <row r="18" spans="1:9" ht="12.75">
      <c r="A18" s="145" t="s">
        <v>100</v>
      </c>
      <c r="B18" s="111"/>
      <c r="C18" s="17" t="s">
        <v>161</v>
      </c>
      <c r="D18" s="41">
        <f>'Stavební rozpočet'!H55</f>
        <v>0</v>
      </c>
      <c r="E18" s="41">
        <f>'Stavební rozpočet'!I55</f>
        <v>0</v>
      </c>
      <c r="F18" s="41">
        <f>'Stavební rozpočet'!J55</f>
        <v>0</v>
      </c>
      <c r="G18" s="58">
        <f>'Stavební rozpočet'!L55</f>
        <v>0.008660000000000001</v>
      </c>
      <c r="H18" s="54" t="s">
        <v>250</v>
      </c>
      <c r="I18" s="41">
        <f t="shared" si="0"/>
        <v>0</v>
      </c>
    </row>
    <row r="19" spans="1:9" ht="12.75">
      <c r="A19" s="146" t="s">
        <v>102</v>
      </c>
      <c r="B19" s="147"/>
      <c r="C19" s="51" t="s">
        <v>163</v>
      </c>
      <c r="D19" s="56">
        <f>'Stavební rozpočet'!H57</f>
        <v>0</v>
      </c>
      <c r="E19" s="56">
        <f>'Stavební rozpočet'!I57</f>
        <v>0</v>
      </c>
      <c r="F19" s="56">
        <f>'Stavební rozpočet'!J57</f>
        <v>0</v>
      </c>
      <c r="G19" s="59">
        <f>'Stavební rozpočet'!L57</f>
        <v>7.40738</v>
      </c>
      <c r="H19" s="54" t="s">
        <v>250</v>
      </c>
      <c r="I19" s="41">
        <f t="shared" si="0"/>
        <v>0</v>
      </c>
    </row>
    <row r="20" spans="1:7" ht="12.75">
      <c r="A20" s="8"/>
      <c r="B20" s="8"/>
      <c r="C20" s="8"/>
      <c r="D20" s="8"/>
      <c r="E20" s="27" t="s">
        <v>195</v>
      </c>
      <c r="F20" s="48">
        <f>SUM(H11:H19)</f>
        <v>0</v>
      </c>
      <c r="G20" s="8"/>
    </row>
  </sheetData>
  <sheetProtection password="CF62" sheet="1"/>
  <mergeCells count="35">
    <mergeCell ref="A16:B16"/>
    <mergeCell ref="A17:B17"/>
    <mergeCell ref="A18:B18"/>
    <mergeCell ref="A19:B19"/>
    <mergeCell ref="A10:B10"/>
    <mergeCell ref="A11:B11"/>
    <mergeCell ref="A12:B12"/>
    <mergeCell ref="A13:B13"/>
    <mergeCell ref="A14:B14"/>
    <mergeCell ref="A15:B15"/>
    <mergeCell ref="A8:B9"/>
    <mergeCell ref="C8:C9"/>
    <mergeCell ref="D8:D9"/>
    <mergeCell ref="E8:E9"/>
    <mergeCell ref="F8:F9"/>
    <mergeCell ref="G8:G9"/>
    <mergeCell ref="A6:B7"/>
    <mergeCell ref="C6:C7"/>
    <mergeCell ref="D6:D7"/>
    <mergeCell ref="E6:E7"/>
    <mergeCell ref="F6:F7"/>
    <mergeCell ref="G6:G7"/>
    <mergeCell ref="A4:B5"/>
    <mergeCell ref="C4:C5"/>
    <mergeCell ref="D4:D5"/>
    <mergeCell ref="E4:E5"/>
    <mergeCell ref="F4:F5"/>
    <mergeCell ref="G4:G5"/>
    <mergeCell ref="A1:G1"/>
    <mergeCell ref="A2:B3"/>
    <mergeCell ref="C2:C3"/>
    <mergeCell ref="D2:D3"/>
    <mergeCell ref="E2:E3"/>
    <mergeCell ref="F2:F3"/>
    <mergeCell ref="G2:G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C25" sqref="C25"/>
    </sheetView>
  </sheetViews>
  <sheetFormatPr defaultColWidth="11.57421875" defaultRowHeight="12.75"/>
  <cols>
    <col min="1" max="1" width="17.8515625" style="0" customWidth="1"/>
    <col min="2" max="2" width="17.28125" style="0" customWidth="1"/>
    <col min="3" max="3" width="42.8515625" style="0" customWidth="1"/>
    <col min="4" max="4" width="86.8515625" style="0" customWidth="1"/>
    <col min="5" max="5" width="24.140625" style="0" customWidth="1"/>
    <col min="6" max="6" width="15.7109375" style="0" customWidth="1"/>
    <col min="7" max="7" width="18.140625" style="0" customWidth="1"/>
  </cols>
  <sheetData>
    <row r="1" spans="1:7" ht="72.75" customHeight="1">
      <c r="A1" s="106" t="s">
        <v>251</v>
      </c>
      <c r="B1" s="107"/>
      <c r="C1" s="107"/>
      <c r="D1" s="107"/>
      <c r="E1" s="107"/>
      <c r="F1" s="107"/>
      <c r="G1" s="107"/>
    </row>
    <row r="2" spans="1:8" ht="12.75">
      <c r="A2" s="108" t="s">
        <v>1</v>
      </c>
      <c r="B2" s="112" t="str">
        <f>'Stavební rozpočet'!C2</f>
        <v>Výměna části oken a dveří v areálu Gymnázia Aš</v>
      </c>
      <c r="C2" s="113"/>
      <c r="D2" s="116" t="s">
        <v>189</v>
      </c>
      <c r="E2" s="116" t="str">
        <f>'Stavební rozpočet'!I2</f>
        <v>Gymnázium Aš, příspěvková organizace, Hlavní 106,</v>
      </c>
      <c r="F2" s="109"/>
      <c r="G2" s="117"/>
      <c r="H2" s="39"/>
    </row>
    <row r="3" spans="1:8" ht="12.75">
      <c r="A3" s="110"/>
      <c r="B3" s="114"/>
      <c r="C3" s="114"/>
      <c r="D3" s="111"/>
      <c r="E3" s="111"/>
      <c r="F3" s="111"/>
      <c r="G3" s="118"/>
      <c r="H3" s="39"/>
    </row>
    <row r="4" spans="1:8" ht="12.75">
      <c r="A4" s="119" t="s">
        <v>2</v>
      </c>
      <c r="B4" s="120" t="str">
        <f>'Stavební rozpočet'!C4</f>
        <v>Školní budova</v>
      </c>
      <c r="C4" s="111"/>
      <c r="D4" s="120" t="s">
        <v>190</v>
      </c>
      <c r="E4" s="120" t="str">
        <f>'Stavební rozpočet'!I4</f>
        <v>Ing. Jarosklav Radovnický</v>
      </c>
      <c r="F4" s="111"/>
      <c r="G4" s="118"/>
      <c r="H4" s="39"/>
    </row>
    <row r="5" spans="1:8" ht="12.75">
      <c r="A5" s="110"/>
      <c r="B5" s="111"/>
      <c r="C5" s="111"/>
      <c r="D5" s="111"/>
      <c r="E5" s="111"/>
      <c r="F5" s="111"/>
      <c r="G5" s="118"/>
      <c r="H5" s="39"/>
    </row>
    <row r="6" spans="1:8" ht="12.75">
      <c r="A6" s="119" t="s">
        <v>3</v>
      </c>
      <c r="B6" s="120" t="str">
        <f>'Stavební rozpočet'!C6</f>
        <v>p.č. 2798/3,2805/9, st.2728, 2729, 2730, 2731 v k.ú. Aš (600521)</v>
      </c>
      <c r="C6" s="111"/>
      <c r="D6" s="120" t="s">
        <v>191</v>
      </c>
      <c r="E6" s="120" t="str">
        <f>'Stavební rozpočet'!I6</f>
        <v> </v>
      </c>
      <c r="F6" s="111"/>
      <c r="G6" s="118"/>
      <c r="H6" s="39"/>
    </row>
    <row r="7" spans="1:8" ht="12.75">
      <c r="A7" s="110"/>
      <c r="B7" s="111"/>
      <c r="C7" s="111"/>
      <c r="D7" s="111"/>
      <c r="E7" s="111"/>
      <c r="F7" s="111"/>
      <c r="G7" s="118"/>
      <c r="H7" s="39"/>
    </row>
    <row r="8" spans="1:8" ht="12.75">
      <c r="A8" s="119" t="s">
        <v>192</v>
      </c>
      <c r="B8" s="120" t="str">
        <f>'Stavební rozpočet'!I8</f>
        <v>Ing. Jaroslav Radovnický</v>
      </c>
      <c r="C8" s="111"/>
      <c r="D8" s="120" t="s">
        <v>178</v>
      </c>
      <c r="E8" s="120" t="str">
        <f>'Stavební rozpočet'!G8</f>
        <v>13.04.2021</v>
      </c>
      <c r="F8" s="111"/>
      <c r="G8" s="118"/>
      <c r="H8" s="39"/>
    </row>
    <row r="9" spans="1:8" ht="12.75">
      <c r="A9" s="122"/>
      <c r="B9" s="123"/>
      <c r="C9" s="123"/>
      <c r="D9" s="123"/>
      <c r="E9" s="123"/>
      <c r="F9" s="123"/>
      <c r="G9" s="124"/>
      <c r="H9" s="39"/>
    </row>
    <row r="10" spans="1:8" ht="12.75">
      <c r="A10" s="60" t="s">
        <v>5</v>
      </c>
      <c r="B10" s="49" t="s">
        <v>56</v>
      </c>
      <c r="C10" s="152" t="s">
        <v>117</v>
      </c>
      <c r="D10" s="149"/>
      <c r="E10" s="49" t="s">
        <v>179</v>
      </c>
      <c r="F10" s="67" t="s">
        <v>185</v>
      </c>
      <c r="G10" s="72" t="s">
        <v>288</v>
      </c>
      <c r="H10" s="40"/>
    </row>
    <row r="11" spans="1:8" ht="12.75">
      <c r="A11" s="61" t="s">
        <v>7</v>
      </c>
      <c r="B11" s="63" t="s">
        <v>58</v>
      </c>
      <c r="C11" s="153" t="s">
        <v>120</v>
      </c>
      <c r="D11" s="154"/>
      <c r="E11" s="63" t="s">
        <v>180</v>
      </c>
      <c r="F11" s="68">
        <v>57.74</v>
      </c>
      <c r="G11" s="73">
        <v>0</v>
      </c>
      <c r="H11" s="39"/>
    </row>
    <row r="12" spans="1:8" ht="12" customHeight="1">
      <c r="A12" s="39"/>
      <c r="C12" s="65" t="s">
        <v>252</v>
      </c>
      <c r="D12" s="155" t="s">
        <v>271</v>
      </c>
      <c r="E12" s="156"/>
      <c r="F12" s="69">
        <v>57.74</v>
      </c>
      <c r="G12" s="74"/>
      <c r="H12" s="39"/>
    </row>
    <row r="13" spans="1:8" ht="12.75">
      <c r="A13" s="4" t="s">
        <v>8</v>
      </c>
      <c r="B13" s="13" t="s">
        <v>59</v>
      </c>
      <c r="C13" s="134" t="s">
        <v>121</v>
      </c>
      <c r="D13" s="135"/>
      <c r="E13" s="13" t="s">
        <v>181</v>
      </c>
      <c r="F13" s="21">
        <v>443.25</v>
      </c>
      <c r="G13" s="75">
        <v>0</v>
      </c>
      <c r="H13" s="39"/>
    </row>
    <row r="14" spans="1:8" ht="12" customHeight="1">
      <c r="A14" s="39"/>
      <c r="C14" s="65" t="s">
        <v>253</v>
      </c>
      <c r="D14" s="155" t="s">
        <v>272</v>
      </c>
      <c r="E14" s="156"/>
      <c r="F14" s="69">
        <v>263.25</v>
      </c>
      <c r="G14" s="74"/>
      <c r="H14" s="39"/>
    </row>
    <row r="15" spans="1:8" ht="12" customHeight="1">
      <c r="A15" s="4"/>
      <c r="B15" s="13"/>
      <c r="C15" s="65" t="s">
        <v>254</v>
      </c>
      <c r="D15" s="155" t="s">
        <v>273</v>
      </c>
      <c r="E15" s="155"/>
      <c r="F15" s="69">
        <v>40.8</v>
      </c>
      <c r="G15" s="35"/>
      <c r="H15" s="39"/>
    </row>
    <row r="16" spans="1:8" ht="12" customHeight="1">
      <c r="A16" s="4"/>
      <c r="B16" s="13"/>
      <c r="C16" s="65" t="s">
        <v>255</v>
      </c>
      <c r="D16" s="155" t="s">
        <v>274</v>
      </c>
      <c r="E16" s="155"/>
      <c r="F16" s="69">
        <v>81.6</v>
      </c>
      <c r="G16" s="35"/>
      <c r="H16" s="39"/>
    </row>
    <row r="17" spans="1:8" ht="12" customHeight="1">
      <c r="A17" s="4"/>
      <c r="B17" s="13"/>
      <c r="C17" s="65" t="s">
        <v>256</v>
      </c>
      <c r="D17" s="155" t="s">
        <v>275</v>
      </c>
      <c r="E17" s="155"/>
      <c r="F17" s="69">
        <v>14.4</v>
      </c>
      <c r="G17" s="35"/>
      <c r="H17" s="39"/>
    </row>
    <row r="18" spans="1:8" ht="12" customHeight="1">
      <c r="A18" s="4"/>
      <c r="B18" s="13"/>
      <c r="C18" s="65" t="s">
        <v>257</v>
      </c>
      <c r="D18" s="155" t="s">
        <v>276</v>
      </c>
      <c r="E18" s="155"/>
      <c r="F18" s="69">
        <v>43.2</v>
      </c>
      <c r="G18" s="35"/>
      <c r="H18" s="39"/>
    </row>
    <row r="19" spans="1:8" ht="12.75">
      <c r="A19" s="4" t="s">
        <v>9</v>
      </c>
      <c r="B19" s="13" t="s">
        <v>60</v>
      </c>
      <c r="C19" s="134" t="s">
        <v>122</v>
      </c>
      <c r="D19" s="135"/>
      <c r="E19" s="13" t="s">
        <v>180</v>
      </c>
      <c r="F19" s="21">
        <v>322.06</v>
      </c>
      <c r="G19" s="75">
        <v>0</v>
      </c>
      <c r="H19" s="39"/>
    </row>
    <row r="20" spans="1:8" ht="12" customHeight="1">
      <c r="A20" s="39"/>
      <c r="C20" s="65" t="s">
        <v>258</v>
      </c>
      <c r="D20" s="155" t="s">
        <v>277</v>
      </c>
      <c r="E20" s="156"/>
      <c r="F20" s="69">
        <v>322.06</v>
      </c>
      <c r="G20" s="74"/>
      <c r="H20" s="39"/>
    </row>
    <row r="21" spans="1:8" ht="12.75">
      <c r="A21" s="4" t="s">
        <v>10</v>
      </c>
      <c r="B21" s="13" t="s">
        <v>61</v>
      </c>
      <c r="C21" s="134" t="s">
        <v>123</v>
      </c>
      <c r="D21" s="135"/>
      <c r="E21" s="13" t="s">
        <v>181</v>
      </c>
      <c r="F21" s="21">
        <v>443.25</v>
      </c>
      <c r="G21" s="75">
        <v>0</v>
      </c>
      <c r="H21" s="39"/>
    </row>
    <row r="22" spans="1:8" ht="12" customHeight="1">
      <c r="A22" s="39"/>
      <c r="C22" s="65" t="s">
        <v>253</v>
      </c>
      <c r="D22" s="155" t="s">
        <v>272</v>
      </c>
      <c r="E22" s="156"/>
      <c r="F22" s="69">
        <v>263.25</v>
      </c>
      <c r="G22" s="74"/>
      <c r="H22" s="39"/>
    </row>
    <row r="23" spans="1:8" ht="12" customHeight="1">
      <c r="A23" s="4"/>
      <c r="B23" s="13"/>
      <c r="C23" s="65" t="s">
        <v>254</v>
      </c>
      <c r="D23" s="155" t="s">
        <v>273</v>
      </c>
      <c r="E23" s="155"/>
      <c r="F23" s="69">
        <v>40.8</v>
      </c>
      <c r="G23" s="35"/>
      <c r="H23" s="39"/>
    </row>
    <row r="24" spans="1:8" ht="12" customHeight="1">
      <c r="A24" s="4"/>
      <c r="B24" s="13"/>
      <c r="C24" s="65" t="s">
        <v>255</v>
      </c>
      <c r="D24" s="155" t="s">
        <v>274</v>
      </c>
      <c r="E24" s="155"/>
      <c r="F24" s="69">
        <v>81.6</v>
      </c>
      <c r="G24" s="35"/>
      <c r="H24" s="39"/>
    </row>
    <row r="25" spans="1:8" ht="12" customHeight="1">
      <c r="A25" s="4"/>
      <c r="B25" s="13"/>
      <c r="C25" s="65" t="s">
        <v>256</v>
      </c>
      <c r="D25" s="155" t="s">
        <v>275</v>
      </c>
      <c r="E25" s="155"/>
      <c r="F25" s="69">
        <v>14.4</v>
      </c>
      <c r="G25" s="35"/>
      <c r="H25" s="39"/>
    </row>
    <row r="26" spans="1:8" ht="12" customHeight="1">
      <c r="A26" s="4"/>
      <c r="B26" s="13"/>
      <c r="C26" s="65" t="s">
        <v>257</v>
      </c>
      <c r="D26" s="155" t="s">
        <v>276</v>
      </c>
      <c r="E26" s="155"/>
      <c r="F26" s="69">
        <v>43.2</v>
      </c>
      <c r="G26" s="35"/>
      <c r="H26" s="39"/>
    </row>
    <row r="27" spans="1:8" ht="12.75">
      <c r="A27" s="5" t="s">
        <v>11</v>
      </c>
      <c r="B27" s="14" t="s">
        <v>62</v>
      </c>
      <c r="C27" s="136" t="s">
        <v>124</v>
      </c>
      <c r="D27" s="137"/>
      <c r="E27" s="14" t="s">
        <v>181</v>
      </c>
      <c r="F27" s="22">
        <v>487.575</v>
      </c>
      <c r="G27" s="76">
        <v>0</v>
      </c>
      <c r="H27" s="39"/>
    </row>
    <row r="28" spans="1:8" ht="12" customHeight="1">
      <c r="A28" s="39"/>
      <c r="C28" s="65" t="s">
        <v>253</v>
      </c>
      <c r="D28" s="155" t="s">
        <v>272</v>
      </c>
      <c r="E28" s="156"/>
      <c r="F28" s="70">
        <v>263.25</v>
      </c>
      <c r="G28" s="74"/>
      <c r="H28" s="39"/>
    </row>
    <row r="29" spans="1:8" ht="12" customHeight="1">
      <c r="A29" s="5"/>
      <c r="B29" s="14"/>
      <c r="C29" s="65" t="s">
        <v>254</v>
      </c>
      <c r="D29" s="155" t="s">
        <v>273</v>
      </c>
      <c r="E29" s="155"/>
      <c r="F29" s="70">
        <v>40.8</v>
      </c>
      <c r="G29" s="36"/>
      <c r="H29" s="39"/>
    </row>
    <row r="30" spans="1:8" ht="12" customHeight="1">
      <c r="A30" s="5"/>
      <c r="B30" s="14"/>
      <c r="C30" s="65" t="s">
        <v>255</v>
      </c>
      <c r="D30" s="155" t="s">
        <v>274</v>
      </c>
      <c r="E30" s="155"/>
      <c r="F30" s="70">
        <v>81.6</v>
      </c>
      <c r="G30" s="36"/>
      <c r="H30" s="39"/>
    </row>
    <row r="31" spans="1:8" ht="12" customHeight="1">
      <c r="A31" s="5"/>
      <c r="B31" s="14"/>
      <c r="C31" s="65" t="s">
        <v>256</v>
      </c>
      <c r="D31" s="155" t="s">
        <v>275</v>
      </c>
      <c r="E31" s="155"/>
      <c r="F31" s="70">
        <v>14.4</v>
      </c>
      <c r="G31" s="36"/>
      <c r="H31" s="39"/>
    </row>
    <row r="32" spans="1:8" ht="12" customHeight="1">
      <c r="A32" s="5"/>
      <c r="B32" s="14"/>
      <c r="C32" s="65" t="s">
        <v>257</v>
      </c>
      <c r="D32" s="155" t="s">
        <v>276</v>
      </c>
      <c r="E32" s="155"/>
      <c r="F32" s="70">
        <v>43.2</v>
      </c>
      <c r="G32" s="36"/>
      <c r="H32" s="39"/>
    </row>
    <row r="33" spans="1:8" ht="12" customHeight="1">
      <c r="A33" s="5"/>
      <c r="B33" s="14"/>
      <c r="C33" s="65" t="s">
        <v>259</v>
      </c>
      <c r="D33" s="155"/>
      <c r="E33" s="155"/>
      <c r="F33" s="70">
        <v>44.325</v>
      </c>
      <c r="G33" s="36"/>
      <c r="H33" s="39"/>
    </row>
    <row r="34" spans="1:8" ht="12.75">
      <c r="A34" s="4" t="s">
        <v>12</v>
      </c>
      <c r="B34" s="13" t="s">
        <v>63</v>
      </c>
      <c r="C34" s="134" t="s">
        <v>125</v>
      </c>
      <c r="D34" s="135"/>
      <c r="E34" s="13" t="s">
        <v>180</v>
      </c>
      <c r="F34" s="21">
        <v>57.74</v>
      </c>
      <c r="G34" s="75">
        <v>0</v>
      </c>
      <c r="H34" s="39"/>
    </row>
    <row r="35" spans="1:8" ht="12" customHeight="1">
      <c r="A35" s="39"/>
      <c r="C35" s="65" t="s">
        <v>252</v>
      </c>
      <c r="D35" s="155" t="s">
        <v>278</v>
      </c>
      <c r="E35" s="156"/>
      <c r="F35" s="69">
        <v>57.74</v>
      </c>
      <c r="G35" s="74"/>
      <c r="H35" s="39"/>
    </row>
    <row r="36" spans="1:8" ht="12.75">
      <c r="A36" s="4" t="s">
        <v>13</v>
      </c>
      <c r="B36" s="13" t="s">
        <v>65</v>
      </c>
      <c r="C36" s="134" t="s">
        <v>127</v>
      </c>
      <c r="D36" s="135"/>
      <c r="E36" s="13" t="s">
        <v>180</v>
      </c>
      <c r="F36" s="21">
        <v>44.325</v>
      </c>
      <c r="G36" s="75">
        <v>0</v>
      </c>
      <c r="H36" s="39"/>
    </row>
    <row r="37" spans="1:8" ht="12" customHeight="1">
      <c r="A37" s="39"/>
      <c r="C37" s="65" t="s">
        <v>260</v>
      </c>
      <c r="D37" s="155" t="s">
        <v>279</v>
      </c>
      <c r="E37" s="156"/>
      <c r="F37" s="69">
        <v>44.325</v>
      </c>
      <c r="G37" s="74"/>
      <c r="H37" s="39"/>
    </row>
    <row r="38" spans="1:8" ht="12.75">
      <c r="A38" s="4" t="s">
        <v>14</v>
      </c>
      <c r="B38" s="13" t="s">
        <v>66</v>
      </c>
      <c r="C38" s="134" t="s">
        <v>128</v>
      </c>
      <c r="D38" s="135"/>
      <c r="E38" s="13" t="s">
        <v>180</v>
      </c>
      <c r="F38" s="21">
        <v>146.39</v>
      </c>
      <c r="G38" s="75">
        <v>0</v>
      </c>
      <c r="H38" s="39"/>
    </row>
    <row r="39" spans="1:8" ht="12" customHeight="1">
      <c r="A39" s="39"/>
      <c r="C39" s="65" t="s">
        <v>261</v>
      </c>
      <c r="D39" s="155" t="s">
        <v>279</v>
      </c>
      <c r="E39" s="156"/>
      <c r="F39" s="69">
        <v>88.65</v>
      </c>
      <c r="G39" s="74"/>
      <c r="H39" s="39"/>
    </row>
    <row r="40" spans="1:8" ht="12" customHeight="1">
      <c r="A40" s="4"/>
      <c r="B40" s="13"/>
      <c r="C40" s="65" t="s">
        <v>252</v>
      </c>
      <c r="D40" s="155" t="s">
        <v>280</v>
      </c>
      <c r="E40" s="155"/>
      <c r="F40" s="69">
        <v>57.74</v>
      </c>
      <c r="G40" s="35"/>
      <c r="H40" s="39"/>
    </row>
    <row r="41" spans="1:8" ht="12.75">
      <c r="A41" s="4" t="s">
        <v>15</v>
      </c>
      <c r="B41" s="13" t="s">
        <v>67</v>
      </c>
      <c r="C41" s="134" t="s">
        <v>129</v>
      </c>
      <c r="D41" s="135"/>
      <c r="E41" s="13" t="s">
        <v>180</v>
      </c>
      <c r="F41" s="21">
        <v>57.74</v>
      </c>
      <c r="G41" s="75">
        <v>0</v>
      </c>
      <c r="H41" s="39"/>
    </row>
    <row r="42" spans="1:8" ht="12" customHeight="1">
      <c r="A42" s="39"/>
      <c r="C42" s="65" t="s">
        <v>252</v>
      </c>
      <c r="D42" s="155" t="s">
        <v>278</v>
      </c>
      <c r="E42" s="156"/>
      <c r="F42" s="69">
        <v>57.74</v>
      </c>
      <c r="G42" s="74"/>
      <c r="H42" s="39"/>
    </row>
    <row r="43" spans="1:8" ht="12.75">
      <c r="A43" s="4" t="s">
        <v>16</v>
      </c>
      <c r="B43" s="13" t="s">
        <v>68</v>
      </c>
      <c r="C43" s="134" t="s">
        <v>130</v>
      </c>
      <c r="D43" s="135"/>
      <c r="E43" s="13" t="s">
        <v>181</v>
      </c>
      <c r="F43" s="21">
        <v>443.25</v>
      </c>
      <c r="G43" s="75">
        <v>0</v>
      </c>
      <c r="H43" s="39"/>
    </row>
    <row r="44" spans="1:8" ht="12" customHeight="1">
      <c r="A44" s="39"/>
      <c r="C44" s="65" t="s">
        <v>253</v>
      </c>
      <c r="D44" s="155" t="s">
        <v>272</v>
      </c>
      <c r="E44" s="156"/>
      <c r="F44" s="69">
        <v>263.25</v>
      </c>
      <c r="G44" s="74"/>
      <c r="H44" s="39"/>
    </row>
    <row r="45" spans="1:8" ht="12" customHeight="1">
      <c r="A45" s="4"/>
      <c r="B45" s="13"/>
      <c r="C45" s="65" t="s">
        <v>254</v>
      </c>
      <c r="D45" s="155" t="s">
        <v>273</v>
      </c>
      <c r="E45" s="155"/>
      <c r="F45" s="69">
        <v>40.8</v>
      </c>
      <c r="G45" s="35"/>
      <c r="H45" s="39"/>
    </row>
    <row r="46" spans="1:8" ht="12" customHeight="1">
      <c r="A46" s="4"/>
      <c r="B46" s="13"/>
      <c r="C46" s="65" t="s">
        <v>255</v>
      </c>
      <c r="D46" s="155" t="s">
        <v>274</v>
      </c>
      <c r="E46" s="155"/>
      <c r="F46" s="69">
        <v>81.6</v>
      </c>
      <c r="G46" s="35"/>
      <c r="H46" s="39"/>
    </row>
    <row r="47" spans="1:8" ht="12" customHeight="1">
      <c r="A47" s="4"/>
      <c r="B47" s="13"/>
      <c r="C47" s="65" t="s">
        <v>256</v>
      </c>
      <c r="D47" s="155" t="s">
        <v>275</v>
      </c>
      <c r="E47" s="155"/>
      <c r="F47" s="69">
        <v>14.4</v>
      </c>
      <c r="G47" s="35"/>
      <c r="H47" s="39"/>
    </row>
    <row r="48" spans="1:8" ht="12" customHeight="1">
      <c r="A48" s="4"/>
      <c r="B48" s="13"/>
      <c r="C48" s="65" t="s">
        <v>257</v>
      </c>
      <c r="D48" s="155" t="s">
        <v>276</v>
      </c>
      <c r="E48" s="155"/>
      <c r="F48" s="69">
        <v>43.2</v>
      </c>
      <c r="G48" s="35"/>
      <c r="H48" s="39"/>
    </row>
    <row r="49" spans="1:8" ht="12.75">
      <c r="A49" s="4" t="s">
        <v>17</v>
      </c>
      <c r="B49" s="13" t="s">
        <v>75</v>
      </c>
      <c r="C49" s="134" t="s">
        <v>137</v>
      </c>
      <c r="D49" s="135"/>
      <c r="E49" s="13" t="s">
        <v>181</v>
      </c>
      <c r="F49" s="21">
        <v>443.25</v>
      </c>
      <c r="G49" s="75">
        <v>0</v>
      </c>
      <c r="H49" s="39"/>
    </row>
    <row r="50" spans="1:8" ht="12" customHeight="1">
      <c r="A50" s="39"/>
      <c r="C50" s="65" t="s">
        <v>253</v>
      </c>
      <c r="D50" s="155" t="s">
        <v>272</v>
      </c>
      <c r="E50" s="156"/>
      <c r="F50" s="69">
        <v>263.25</v>
      </c>
      <c r="G50" s="74"/>
      <c r="H50" s="39"/>
    </row>
    <row r="51" spans="1:8" ht="12" customHeight="1">
      <c r="A51" s="4"/>
      <c r="B51" s="13"/>
      <c r="C51" s="65" t="s">
        <v>254</v>
      </c>
      <c r="D51" s="155" t="s">
        <v>273</v>
      </c>
      <c r="E51" s="155"/>
      <c r="F51" s="69">
        <v>40.8</v>
      </c>
      <c r="G51" s="35"/>
      <c r="H51" s="39"/>
    </row>
    <row r="52" spans="1:8" ht="12" customHeight="1">
      <c r="A52" s="4"/>
      <c r="B52" s="13"/>
      <c r="C52" s="65" t="s">
        <v>255</v>
      </c>
      <c r="D52" s="155" t="s">
        <v>274</v>
      </c>
      <c r="E52" s="155"/>
      <c r="F52" s="69">
        <v>81.6</v>
      </c>
      <c r="G52" s="35"/>
      <c r="H52" s="39"/>
    </row>
    <row r="53" spans="1:8" ht="12" customHeight="1">
      <c r="A53" s="4"/>
      <c r="B53" s="13"/>
      <c r="C53" s="65" t="s">
        <v>256</v>
      </c>
      <c r="D53" s="155" t="s">
        <v>275</v>
      </c>
      <c r="E53" s="155"/>
      <c r="F53" s="69">
        <v>14.4</v>
      </c>
      <c r="G53" s="35"/>
      <c r="H53" s="39"/>
    </row>
    <row r="54" spans="1:8" ht="12" customHeight="1">
      <c r="A54" s="4"/>
      <c r="B54" s="13"/>
      <c r="C54" s="65" t="s">
        <v>257</v>
      </c>
      <c r="D54" s="155" t="s">
        <v>276</v>
      </c>
      <c r="E54" s="155"/>
      <c r="F54" s="69">
        <v>43.2</v>
      </c>
      <c r="G54" s="35"/>
      <c r="H54" s="39"/>
    </row>
    <row r="55" spans="1:8" ht="12.75">
      <c r="A55" s="4" t="s">
        <v>18</v>
      </c>
      <c r="B55" s="13" t="s">
        <v>76</v>
      </c>
      <c r="C55" s="134" t="s">
        <v>138</v>
      </c>
      <c r="D55" s="135"/>
      <c r="E55" s="13" t="s">
        <v>183</v>
      </c>
      <c r="F55" s="21">
        <v>39</v>
      </c>
      <c r="G55" s="75">
        <v>0</v>
      </c>
      <c r="H55" s="39"/>
    </row>
    <row r="56" spans="1:8" ht="12" customHeight="1">
      <c r="A56" s="39"/>
      <c r="C56" s="65" t="s">
        <v>45</v>
      </c>
      <c r="D56" s="155" t="s">
        <v>272</v>
      </c>
      <c r="E56" s="156"/>
      <c r="F56" s="69">
        <v>39</v>
      </c>
      <c r="G56" s="74"/>
      <c r="H56" s="39"/>
    </row>
    <row r="57" spans="1:8" ht="12.75">
      <c r="A57" s="5" t="s">
        <v>19</v>
      </c>
      <c r="B57" s="14" t="s">
        <v>78</v>
      </c>
      <c r="C57" s="136" t="s">
        <v>140</v>
      </c>
      <c r="D57" s="137"/>
      <c r="E57" s="14" t="s">
        <v>181</v>
      </c>
      <c r="F57" s="22">
        <v>90.3825</v>
      </c>
      <c r="G57" s="76">
        <v>0</v>
      </c>
      <c r="H57" s="39"/>
    </row>
    <row r="58" spans="1:8" ht="12" customHeight="1">
      <c r="A58" s="39"/>
      <c r="C58" s="65" t="s">
        <v>262</v>
      </c>
      <c r="D58" s="155" t="s">
        <v>281</v>
      </c>
      <c r="E58" s="156"/>
      <c r="F58" s="70">
        <v>87.75</v>
      </c>
      <c r="G58" s="74"/>
      <c r="H58" s="39"/>
    </row>
    <row r="59" spans="1:8" ht="12" customHeight="1">
      <c r="A59" s="5"/>
      <c r="B59" s="14"/>
      <c r="C59" s="65" t="s">
        <v>263</v>
      </c>
      <c r="D59" s="155"/>
      <c r="E59" s="155"/>
      <c r="F59" s="70">
        <v>2.6325</v>
      </c>
      <c r="G59" s="36"/>
      <c r="H59" s="39"/>
    </row>
    <row r="60" spans="1:8" ht="12.75">
      <c r="A60" s="5" t="s">
        <v>20</v>
      </c>
      <c r="B60" s="14" t="s">
        <v>79</v>
      </c>
      <c r="C60" s="136" t="s">
        <v>141</v>
      </c>
      <c r="D60" s="137"/>
      <c r="E60" s="14" t="s">
        <v>183</v>
      </c>
      <c r="F60" s="22">
        <v>78</v>
      </c>
      <c r="G60" s="76">
        <v>0</v>
      </c>
      <c r="H60" s="39"/>
    </row>
    <row r="61" spans="1:8" ht="12" customHeight="1">
      <c r="A61" s="39"/>
      <c r="C61" s="65" t="s">
        <v>264</v>
      </c>
      <c r="D61" s="155" t="s">
        <v>272</v>
      </c>
      <c r="E61" s="156"/>
      <c r="F61" s="70">
        <v>78</v>
      </c>
      <c r="G61" s="74"/>
      <c r="H61" s="39"/>
    </row>
    <row r="62" spans="1:8" ht="12.75">
      <c r="A62" s="4" t="s">
        <v>21</v>
      </c>
      <c r="B62" s="13" t="s">
        <v>94</v>
      </c>
      <c r="C62" s="134" t="s">
        <v>156</v>
      </c>
      <c r="D62" s="135"/>
      <c r="E62" s="13" t="s">
        <v>180</v>
      </c>
      <c r="F62" s="21">
        <v>228.97</v>
      </c>
      <c r="G62" s="75">
        <v>0</v>
      </c>
      <c r="H62" s="39"/>
    </row>
    <row r="63" spans="1:8" ht="12" customHeight="1">
      <c r="A63" s="39"/>
      <c r="C63" s="65" t="s">
        <v>265</v>
      </c>
      <c r="D63" s="155" t="s">
        <v>282</v>
      </c>
      <c r="E63" s="156"/>
      <c r="F63" s="69">
        <v>228.97</v>
      </c>
      <c r="G63" s="74"/>
      <c r="H63" s="39"/>
    </row>
    <row r="64" spans="1:8" ht="12.75">
      <c r="A64" s="4" t="s">
        <v>22</v>
      </c>
      <c r="B64" s="13" t="s">
        <v>95</v>
      </c>
      <c r="C64" s="134" t="s">
        <v>129</v>
      </c>
      <c r="D64" s="135"/>
      <c r="E64" s="13" t="s">
        <v>180</v>
      </c>
      <c r="F64" s="21">
        <v>228.97</v>
      </c>
      <c r="G64" s="75">
        <v>0</v>
      </c>
      <c r="H64" s="39"/>
    </row>
    <row r="65" spans="1:8" ht="12" customHeight="1">
      <c r="A65" s="39"/>
      <c r="C65" s="65" t="s">
        <v>266</v>
      </c>
      <c r="D65" s="155" t="s">
        <v>283</v>
      </c>
      <c r="E65" s="156"/>
      <c r="F65" s="69">
        <v>228.97</v>
      </c>
      <c r="G65" s="74"/>
      <c r="H65" s="39"/>
    </row>
    <row r="66" spans="1:8" ht="12.75">
      <c r="A66" s="4" t="s">
        <v>23</v>
      </c>
      <c r="B66" s="13" t="s">
        <v>97</v>
      </c>
      <c r="C66" s="134" t="s">
        <v>158</v>
      </c>
      <c r="D66" s="135"/>
      <c r="E66" s="13" t="s">
        <v>180</v>
      </c>
      <c r="F66" s="21">
        <v>288.7</v>
      </c>
      <c r="G66" s="75">
        <v>0</v>
      </c>
      <c r="H66" s="39"/>
    </row>
    <row r="67" spans="1:8" ht="12" customHeight="1">
      <c r="A67" s="39"/>
      <c r="C67" s="65" t="s">
        <v>267</v>
      </c>
      <c r="D67" s="155" t="s">
        <v>284</v>
      </c>
      <c r="E67" s="156"/>
      <c r="F67" s="69">
        <v>288.7</v>
      </c>
      <c r="G67" s="74"/>
      <c r="H67" s="39"/>
    </row>
    <row r="68" spans="1:8" ht="12.75">
      <c r="A68" s="4" t="s">
        <v>24</v>
      </c>
      <c r="B68" s="13" t="s">
        <v>101</v>
      </c>
      <c r="C68" s="134" t="s">
        <v>162</v>
      </c>
      <c r="D68" s="135"/>
      <c r="E68" s="13" t="s">
        <v>180</v>
      </c>
      <c r="F68" s="21">
        <v>216.5</v>
      </c>
      <c r="G68" s="75">
        <v>0</v>
      </c>
      <c r="H68" s="39"/>
    </row>
    <row r="69" spans="1:8" ht="12" customHeight="1">
      <c r="A69" s="39"/>
      <c r="C69" s="65" t="s">
        <v>268</v>
      </c>
      <c r="D69" s="155"/>
      <c r="E69" s="156"/>
      <c r="F69" s="69">
        <v>216.5</v>
      </c>
      <c r="G69" s="74"/>
      <c r="H69" s="39"/>
    </row>
    <row r="70" spans="1:8" ht="12.75">
      <c r="A70" s="4" t="s">
        <v>25</v>
      </c>
      <c r="B70" s="13" t="s">
        <v>103</v>
      </c>
      <c r="C70" s="134" t="s">
        <v>164</v>
      </c>
      <c r="D70" s="135"/>
      <c r="E70" s="13" t="s">
        <v>183</v>
      </c>
      <c r="F70" s="21">
        <v>196</v>
      </c>
      <c r="G70" s="75">
        <v>0</v>
      </c>
      <c r="H70" s="39"/>
    </row>
    <row r="71" spans="1:8" ht="12" customHeight="1">
      <c r="A71" s="39"/>
      <c r="C71" s="65" t="s">
        <v>269</v>
      </c>
      <c r="D71" s="155" t="s">
        <v>285</v>
      </c>
      <c r="E71" s="156"/>
      <c r="F71" s="69">
        <v>196</v>
      </c>
      <c r="G71" s="74"/>
      <c r="H71" s="39"/>
    </row>
    <row r="72" spans="1:8" ht="12.75">
      <c r="A72" s="4" t="s">
        <v>26</v>
      </c>
      <c r="B72" s="13" t="s">
        <v>104</v>
      </c>
      <c r="C72" s="134" t="s">
        <v>165</v>
      </c>
      <c r="D72" s="135"/>
      <c r="E72" s="13" t="s">
        <v>180</v>
      </c>
      <c r="F72" s="21">
        <v>322.06</v>
      </c>
      <c r="G72" s="75">
        <v>0</v>
      </c>
      <c r="H72" s="39"/>
    </row>
    <row r="73" spans="1:8" ht="12" customHeight="1">
      <c r="A73" s="39"/>
      <c r="C73" s="65" t="s">
        <v>258</v>
      </c>
      <c r="D73" s="155" t="s">
        <v>286</v>
      </c>
      <c r="E73" s="156"/>
      <c r="F73" s="69">
        <v>322.06</v>
      </c>
      <c r="G73" s="74"/>
      <c r="H73" s="39"/>
    </row>
    <row r="74" spans="1:8" ht="12.75">
      <c r="A74" s="4" t="s">
        <v>27</v>
      </c>
      <c r="B74" s="13" t="s">
        <v>106</v>
      </c>
      <c r="C74" s="134" t="s">
        <v>167</v>
      </c>
      <c r="D74" s="135"/>
      <c r="E74" s="13" t="s">
        <v>181</v>
      </c>
      <c r="F74" s="21">
        <v>87.75</v>
      </c>
      <c r="G74" s="75">
        <v>0</v>
      </c>
      <c r="H74" s="39"/>
    </row>
    <row r="75" spans="1:8" ht="12" customHeight="1">
      <c r="A75" s="39"/>
      <c r="C75" s="65" t="s">
        <v>262</v>
      </c>
      <c r="D75" s="155" t="s">
        <v>272</v>
      </c>
      <c r="E75" s="156"/>
      <c r="F75" s="69">
        <v>87.75</v>
      </c>
      <c r="G75" s="74"/>
      <c r="H75" s="39"/>
    </row>
    <row r="76" spans="1:8" ht="12.75">
      <c r="A76" s="4" t="s">
        <v>28</v>
      </c>
      <c r="B76" s="13" t="s">
        <v>113</v>
      </c>
      <c r="C76" s="134" t="s">
        <v>174</v>
      </c>
      <c r="D76" s="135"/>
      <c r="E76" s="13" t="s">
        <v>182</v>
      </c>
      <c r="F76" s="21">
        <v>9.3028</v>
      </c>
      <c r="G76" s="75">
        <v>0</v>
      </c>
      <c r="H76" s="39"/>
    </row>
    <row r="77" spans="1:8" ht="12" customHeight="1">
      <c r="A77" s="62"/>
      <c r="B77" s="64"/>
      <c r="C77" s="66" t="s">
        <v>270</v>
      </c>
      <c r="D77" s="157" t="s">
        <v>287</v>
      </c>
      <c r="E77" s="158"/>
      <c r="F77" s="71">
        <v>9.3028</v>
      </c>
      <c r="G77" s="77"/>
      <c r="H77" s="39"/>
    </row>
    <row r="78" spans="1:7" ht="12.75">
      <c r="A78" s="8"/>
      <c r="B78" s="8"/>
      <c r="C78" s="8"/>
      <c r="D78" s="8"/>
      <c r="E78" s="8"/>
      <c r="F78" s="8"/>
      <c r="G78" s="8"/>
    </row>
    <row r="79" ht="11.25" customHeight="1">
      <c r="A79" s="9" t="s">
        <v>55</v>
      </c>
    </row>
    <row r="80" spans="1:8" ht="12.75">
      <c r="A80" s="120"/>
      <c r="B80" s="111"/>
      <c r="C80" s="111"/>
      <c r="D80" s="111"/>
      <c r="E80" s="111"/>
      <c r="F80" s="111"/>
      <c r="G80" s="111"/>
      <c r="H80" s="111"/>
    </row>
  </sheetData>
  <sheetProtection password="CF62" sheet="1"/>
  <mergeCells count="86">
    <mergeCell ref="C76:D76"/>
    <mergeCell ref="D77:E77"/>
    <mergeCell ref="A80:H80"/>
    <mergeCell ref="C70:D70"/>
    <mergeCell ref="D71:E71"/>
    <mergeCell ref="C72:D72"/>
    <mergeCell ref="D73:E73"/>
    <mergeCell ref="C74:D74"/>
    <mergeCell ref="D75:E75"/>
    <mergeCell ref="C64:D64"/>
    <mergeCell ref="D65:E65"/>
    <mergeCell ref="C66:D66"/>
    <mergeCell ref="D67:E67"/>
    <mergeCell ref="C68:D68"/>
    <mergeCell ref="D69:E69"/>
    <mergeCell ref="D58:E58"/>
    <mergeCell ref="D59:E59"/>
    <mergeCell ref="C60:D60"/>
    <mergeCell ref="D61:E61"/>
    <mergeCell ref="C62:D62"/>
    <mergeCell ref="D63:E63"/>
    <mergeCell ref="D52:E52"/>
    <mergeCell ref="D53:E53"/>
    <mergeCell ref="D54:E54"/>
    <mergeCell ref="C55:D55"/>
    <mergeCell ref="D56:E56"/>
    <mergeCell ref="C57:D57"/>
    <mergeCell ref="D46:E46"/>
    <mergeCell ref="D47:E47"/>
    <mergeCell ref="D48:E48"/>
    <mergeCell ref="C49:D49"/>
    <mergeCell ref="D50:E50"/>
    <mergeCell ref="D51:E51"/>
    <mergeCell ref="D40:E40"/>
    <mergeCell ref="C41:D41"/>
    <mergeCell ref="D42:E42"/>
    <mergeCell ref="C43:D43"/>
    <mergeCell ref="D44:E44"/>
    <mergeCell ref="D45:E45"/>
    <mergeCell ref="C34:D34"/>
    <mergeCell ref="D35:E35"/>
    <mergeCell ref="C36:D36"/>
    <mergeCell ref="D37:E37"/>
    <mergeCell ref="C38:D38"/>
    <mergeCell ref="D39:E39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C27:D27"/>
    <mergeCell ref="D16:E16"/>
    <mergeCell ref="D17:E17"/>
    <mergeCell ref="D18:E18"/>
    <mergeCell ref="C19:D19"/>
    <mergeCell ref="D20:E20"/>
    <mergeCell ref="C21:D21"/>
    <mergeCell ref="C10:D10"/>
    <mergeCell ref="C11:D11"/>
    <mergeCell ref="D12:E12"/>
    <mergeCell ref="C13:D13"/>
    <mergeCell ref="D14:E14"/>
    <mergeCell ref="D15:E15"/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7">
      <selection activeCell="G18" sqref="G18:H18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101"/>
      <c r="B1" s="64"/>
      <c r="C1" s="159" t="s">
        <v>304</v>
      </c>
      <c r="D1" s="107"/>
      <c r="E1" s="107"/>
      <c r="F1" s="107"/>
      <c r="G1" s="107"/>
      <c r="H1" s="107"/>
      <c r="I1" s="107"/>
    </row>
    <row r="2" spans="1:10" ht="12.75">
      <c r="A2" s="108" t="s">
        <v>1</v>
      </c>
      <c r="B2" s="109"/>
      <c r="C2" s="112" t="str">
        <f>'Stavební rozpočet'!C2</f>
        <v>Výměna části oken a dveří v areálu Gymnázia Aš</v>
      </c>
      <c r="D2" s="113"/>
      <c r="E2" s="116" t="s">
        <v>189</v>
      </c>
      <c r="F2" s="116" t="str">
        <f>'Stavební rozpočet'!I2</f>
        <v>Gymnázium Aš, příspěvková organizace, Hlavní 106,</v>
      </c>
      <c r="G2" s="109"/>
      <c r="H2" s="116" t="s">
        <v>328</v>
      </c>
      <c r="I2" s="160" t="s">
        <v>332</v>
      </c>
      <c r="J2" s="39"/>
    </row>
    <row r="3" spans="1:10" ht="12.75">
      <c r="A3" s="110"/>
      <c r="B3" s="111"/>
      <c r="C3" s="114"/>
      <c r="D3" s="114"/>
      <c r="E3" s="111"/>
      <c r="F3" s="111"/>
      <c r="G3" s="111"/>
      <c r="H3" s="111"/>
      <c r="I3" s="118"/>
      <c r="J3" s="39"/>
    </row>
    <row r="4" spans="1:10" ht="12.75">
      <c r="A4" s="119" t="s">
        <v>2</v>
      </c>
      <c r="B4" s="111"/>
      <c r="C4" s="120" t="str">
        <f>'Stavební rozpočet'!C4</f>
        <v>Školní budova</v>
      </c>
      <c r="D4" s="111"/>
      <c r="E4" s="120" t="s">
        <v>190</v>
      </c>
      <c r="F4" s="120" t="str">
        <f>'Stavební rozpočet'!I4</f>
        <v>Ing. Jarosklav Radovnický</v>
      </c>
      <c r="G4" s="111"/>
      <c r="H4" s="120" t="s">
        <v>328</v>
      </c>
      <c r="I4" s="161" t="s">
        <v>333</v>
      </c>
      <c r="J4" s="39"/>
    </row>
    <row r="5" spans="1:10" ht="12.75">
      <c r="A5" s="110"/>
      <c r="B5" s="111"/>
      <c r="C5" s="111"/>
      <c r="D5" s="111"/>
      <c r="E5" s="111"/>
      <c r="F5" s="111"/>
      <c r="G5" s="111"/>
      <c r="H5" s="111"/>
      <c r="I5" s="118"/>
      <c r="J5" s="39"/>
    </row>
    <row r="6" spans="1:10" ht="12.75">
      <c r="A6" s="119" t="s">
        <v>3</v>
      </c>
      <c r="B6" s="111"/>
      <c r="C6" s="120" t="str">
        <f>'Stavební rozpočet'!C6</f>
        <v>p.č. 2798/3,2805/9, st.2728, 2729, 2730, 2731 v k.ú. Aš (600521)</v>
      </c>
      <c r="D6" s="111"/>
      <c r="E6" s="120" t="s">
        <v>191</v>
      </c>
      <c r="F6" s="120" t="str">
        <f>'Stavební rozpočet'!I6</f>
        <v> </v>
      </c>
      <c r="G6" s="111"/>
      <c r="H6" s="120" t="s">
        <v>328</v>
      </c>
      <c r="I6" s="161"/>
      <c r="J6" s="39"/>
    </row>
    <row r="7" spans="1:10" ht="12.75">
      <c r="A7" s="110"/>
      <c r="B7" s="111"/>
      <c r="C7" s="111"/>
      <c r="D7" s="111"/>
      <c r="E7" s="111"/>
      <c r="F7" s="111"/>
      <c r="G7" s="111"/>
      <c r="H7" s="111"/>
      <c r="I7" s="118"/>
      <c r="J7" s="39"/>
    </row>
    <row r="8" spans="1:10" ht="12.75">
      <c r="A8" s="119" t="s">
        <v>176</v>
      </c>
      <c r="B8" s="111"/>
      <c r="C8" s="120" t="str">
        <f>'Stavební rozpočet'!G4</f>
        <v> </v>
      </c>
      <c r="D8" s="111"/>
      <c r="E8" s="120" t="s">
        <v>177</v>
      </c>
      <c r="F8" s="120" t="str">
        <f>'Stavební rozpočet'!G6</f>
        <v> </v>
      </c>
      <c r="G8" s="111"/>
      <c r="H8" s="121" t="s">
        <v>329</v>
      </c>
      <c r="I8" s="161" t="s">
        <v>54</v>
      </c>
      <c r="J8" s="39"/>
    </row>
    <row r="9" spans="1:10" ht="12.75">
      <c r="A9" s="110"/>
      <c r="B9" s="111"/>
      <c r="C9" s="111"/>
      <c r="D9" s="111"/>
      <c r="E9" s="111"/>
      <c r="F9" s="111"/>
      <c r="G9" s="111"/>
      <c r="H9" s="111"/>
      <c r="I9" s="118"/>
      <c r="J9" s="39"/>
    </row>
    <row r="10" spans="1:10" ht="12.75">
      <c r="A10" s="119" t="s">
        <v>4</v>
      </c>
      <c r="B10" s="111"/>
      <c r="C10" s="120">
        <f>'Stavební rozpočet'!C8</f>
        <v>8013252</v>
      </c>
      <c r="D10" s="111"/>
      <c r="E10" s="120" t="s">
        <v>192</v>
      </c>
      <c r="F10" s="120" t="str">
        <f>'Stavební rozpočet'!I8</f>
        <v>Ing. Jaroslav Radovnický</v>
      </c>
      <c r="G10" s="111"/>
      <c r="H10" s="121" t="s">
        <v>330</v>
      </c>
      <c r="I10" s="144" t="str">
        <f>'Stavební rozpočet'!G8</f>
        <v>13.04.2021</v>
      </c>
      <c r="J10" s="39"/>
    </row>
    <row r="11" spans="1:10" ht="12.75">
      <c r="A11" s="162"/>
      <c r="B11" s="147"/>
      <c r="C11" s="147"/>
      <c r="D11" s="147"/>
      <c r="E11" s="147"/>
      <c r="F11" s="147"/>
      <c r="G11" s="147"/>
      <c r="H11" s="147"/>
      <c r="I11" s="163"/>
      <c r="J11" s="39"/>
    </row>
    <row r="12" spans="1:9" ht="23.25" customHeight="1">
      <c r="A12" s="164" t="s">
        <v>289</v>
      </c>
      <c r="B12" s="165"/>
      <c r="C12" s="165"/>
      <c r="D12" s="165"/>
      <c r="E12" s="165"/>
      <c r="F12" s="165"/>
      <c r="G12" s="165"/>
      <c r="H12" s="165"/>
      <c r="I12" s="165"/>
    </row>
    <row r="13" spans="1:10" ht="26.25" customHeight="1">
      <c r="A13" s="78" t="s">
        <v>290</v>
      </c>
      <c r="B13" s="166" t="s">
        <v>302</v>
      </c>
      <c r="C13" s="167"/>
      <c r="D13" s="78" t="s">
        <v>305</v>
      </c>
      <c r="E13" s="166" t="s">
        <v>314</v>
      </c>
      <c r="F13" s="167"/>
      <c r="G13" s="78" t="s">
        <v>315</v>
      </c>
      <c r="H13" s="166" t="s">
        <v>331</v>
      </c>
      <c r="I13" s="167"/>
      <c r="J13" s="39"/>
    </row>
    <row r="14" spans="1:10" ht="15" customHeight="1">
      <c r="A14" s="79" t="s">
        <v>291</v>
      </c>
      <c r="B14" s="83" t="s">
        <v>303</v>
      </c>
      <c r="C14" s="86">
        <f>SUM('Stavební rozpočet'!AB12:AB68)</f>
        <v>0</v>
      </c>
      <c r="D14" s="168" t="s">
        <v>306</v>
      </c>
      <c r="E14" s="169"/>
      <c r="F14" s="86">
        <f>VORN!I15</f>
        <v>0</v>
      </c>
      <c r="G14" s="168" t="s">
        <v>316</v>
      </c>
      <c r="H14" s="169"/>
      <c r="I14" s="86">
        <f>VORN!I21</f>
        <v>0</v>
      </c>
      <c r="J14" s="39"/>
    </row>
    <row r="15" spans="1:10" ht="15" customHeight="1">
      <c r="A15" s="80"/>
      <c r="B15" s="83" t="s">
        <v>200</v>
      </c>
      <c r="C15" s="86">
        <f>SUM('Stavební rozpočet'!AC12:AC68)</f>
        <v>0</v>
      </c>
      <c r="D15" s="168" t="s">
        <v>307</v>
      </c>
      <c r="E15" s="169"/>
      <c r="F15" s="86">
        <f>VORN!I16</f>
        <v>0</v>
      </c>
      <c r="G15" s="168" t="s">
        <v>317</v>
      </c>
      <c r="H15" s="169"/>
      <c r="I15" s="86">
        <f>VORN!I22</f>
        <v>0</v>
      </c>
      <c r="J15" s="39"/>
    </row>
    <row r="16" spans="1:10" ht="15" customHeight="1">
      <c r="A16" s="79" t="s">
        <v>292</v>
      </c>
      <c r="B16" s="83" t="s">
        <v>303</v>
      </c>
      <c r="C16" s="86">
        <f>SUM('Stavební rozpočet'!AD12:AD68)</f>
        <v>0</v>
      </c>
      <c r="D16" s="168" t="s">
        <v>308</v>
      </c>
      <c r="E16" s="169"/>
      <c r="F16" s="86">
        <f>VORN!I17</f>
        <v>0</v>
      </c>
      <c r="G16" s="168" t="s">
        <v>318</v>
      </c>
      <c r="H16" s="169"/>
      <c r="I16" s="86">
        <f>VORN!I23</f>
        <v>0</v>
      </c>
      <c r="J16" s="39"/>
    </row>
    <row r="17" spans="1:10" ht="15" customHeight="1">
      <c r="A17" s="80"/>
      <c r="B17" s="83" t="s">
        <v>200</v>
      </c>
      <c r="C17" s="86">
        <f>SUM('Stavební rozpočet'!AE12:AE68)</f>
        <v>0</v>
      </c>
      <c r="D17" s="168"/>
      <c r="E17" s="169"/>
      <c r="F17" s="87"/>
      <c r="G17" s="168" t="s">
        <v>319</v>
      </c>
      <c r="H17" s="169"/>
      <c r="I17" s="86">
        <f>VORN!I24</f>
        <v>0</v>
      </c>
      <c r="J17" s="39"/>
    </row>
    <row r="18" spans="1:10" ht="15" customHeight="1">
      <c r="A18" s="79" t="s">
        <v>293</v>
      </c>
      <c r="B18" s="83" t="s">
        <v>303</v>
      </c>
      <c r="C18" s="86">
        <f>SUM('Stavební rozpočet'!AF12:AF68)</f>
        <v>0</v>
      </c>
      <c r="D18" s="168"/>
      <c r="E18" s="169"/>
      <c r="F18" s="87"/>
      <c r="G18" s="168" t="s">
        <v>320</v>
      </c>
      <c r="H18" s="169"/>
      <c r="I18" s="86">
        <f>VORN!I25</f>
        <v>0</v>
      </c>
      <c r="J18" s="39"/>
    </row>
    <row r="19" spans="1:10" ht="15" customHeight="1">
      <c r="A19" s="80"/>
      <c r="B19" s="83" t="s">
        <v>200</v>
      </c>
      <c r="C19" s="86">
        <f>SUM('Stavební rozpočet'!AG12:AG68)</f>
        <v>0</v>
      </c>
      <c r="D19" s="168"/>
      <c r="E19" s="169"/>
      <c r="F19" s="87"/>
      <c r="G19" s="168"/>
      <c r="H19" s="169"/>
      <c r="I19" s="86"/>
      <c r="J19" s="39"/>
    </row>
    <row r="20" spans="1:10" ht="15" customHeight="1">
      <c r="A20" s="170" t="s">
        <v>294</v>
      </c>
      <c r="B20" s="171"/>
      <c r="C20" s="86">
        <f>SUM('Stavební rozpočet'!AH12:AH68)</f>
        <v>0</v>
      </c>
      <c r="D20" s="168"/>
      <c r="E20" s="169"/>
      <c r="F20" s="87"/>
      <c r="G20" s="168"/>
      <c r="H20" s="169"/>
      <c r="I20" s="87"/>
      <c r="J20" s="39"/>
    </row>
    <row r="21" spans="1:10" ht="15" customHeight="1">
      <c r="A21" s="170" t="s">
        <v>295</v>
      </c>
      <c r="B21" s="171"/>
      <c r="C21" s="86">
        <f>SUM('Stavební rozpočet'!Z12:Z68)</f>
        <v>0</v>
      </c>
      <c r="D21" s="168"/>
      <c r="E21" s="169"/>
      <c r="F21" s="87"/>
      <c r="G21" s="168"/>
      <c r="H21" s="169"/>
      <c r="I21" s="87"/>
      <c r="J21" s="39"/>
    </row>
    <row r="22" spans="1:10" ht="16.5" customHeight="1">
      <c r="A22" s="170" t="s">
        <v>296</v>
      </c>
      <c r="B22" s="171"/>
      <c r="C22" s="86">
        <f>SUM(C14:C21)</f>
        <v>0</v>
      </c>
      <c r="D22" s="170" t="s">
        <v>309</v>
      </c>
      <c r="E22" s="171"/>
      <c r="F22" s="86">
        <f>SUM(F14:F21)</f>
        <v>0</v>
      </c>
      <c r="G22" s="170" t="s">
        <v>321</v>
      </c>
      <c r="H22" s="171"/>
      <c r="I22" s="86">
        <f>SUM(I14:I21)</f>
        <v>0</v>
      </c>
      <c r="J22" s="39"/>
    </row>
    <row r="23" spans="1:10" ht="15" customHeight="1">
      <c r="A23" s="8"/>
      <c r="B23" s="8"/>
      <c r="C23" s="85"/>
      <c r="D23" s="170" t="s">
        <v>310</v>
      </c>
      <c r="E23" s="171"/>
      <c r="F23" s="88">
        <v>0</v>
      </c>
      <c r="G23" s="170" t="s">
        <v>322</v>
      </c>
      <c r="H23" s="171"/>
      <c r="I23" s="86">
        <v>0</v>
      </c>
      <c r="J23" s="39"/>
    </row>
    <row r="24" spans="4:10" ht="15" customHeight="1">
      <c r="D24" s="8"/>
      <c r="E24" s="8"/>
      <c r="F24" s="89"/>
      <c r="G24" s="170" t="s">
        <v>323</v>
      </c>
      <c r="H24" s="171"/>
      <c r="I24" s="86">
        <f>vorn_sum</f>
        <v>0</v>
      </c>
      <c r="J24" s="39"/>
    </row>
    <row r="25" spans="6:10" ht="15" customHeight="1">
      <c r="F25" s="74"/>
      <c r="G25" s="170" t="s">
        <v>324</v>
      </c>
      <c r="H25" s="171"/>
      <c r="I25" s="86">
        <v>0</v>
      </c>
      <c r="J25" s="39"/>
    </row>
    <row r="26" spans="1:9" ht="12.75">
      <c r="A26" s="64"/>
      <c r="B26" s="64"/>
      <c r="C26" s="64"/>
      <c r="G26" s="8"/>
      <c r="H26" s="8"/>
      <c r="I26" s="8"/>
    </row>
    <row r="27" spans="1:9" ht="15" customHeight="1">
      <c r="A27" s="172" t="s">
        <v>297</v>
      </c>
      <c r="B27" s="173"/>
      <c r="C27" s="90">
        <f>SUM('Stavební rozpočet'!AJ12:AJ68)</f>
        <v>0</v>
      </c>
      <c r="D27" s="62"/>
      <c r="E27" s="64"/>
      <c r="F27" s="64"/>
      <c r="G27" s="64"/>
      <c r="H27" s="64"/>
      <c r="I27" s="64"/>
    </row>
    <row r="28" spans="1:10" ht="15" customHeight="1">
      <c r="A28" s="172" t="s">
        <v>298</v>
      </c>
      <c r="B28" s="173"/>
      <c r="C28" s="90">
        <f>SUM('Stavební rozpočet'!AK12:AK68)</f>
        <v>0</v>
      </c>
      <c r="D28" s="172" t="s">
        <v>311</v>
      </c>
      <c r="E28" s="173"/>
      <c r="F28" s="90">
        <f>ROUND(C28*(15/100),2)</f>
        <v>0</v>
      </c>
      <c r="G28" s="172" t="s">
        <v>325</v>
      </c>
      <c r="H28" s="173"/>
      <c r="I28" s="90">
        <f>SUM(C27:C29)</f>
        <v>0</v>
      </c>
      <c r="J28" s="39"/>
    </row>
    <row r="29" spans="1:10" ht="15" customHeight="1">
      <c r="A29" s="172" t="s">
        <v>299</v>
      </c>
      <c r="B29" s="173"/>
      <c r="C29" s="90">
        <f>SUM('Stavební rozpočet'!AL12:AL68)+(F22+I22+F23+I23+I24+I25)</f>
        <v>0</v>
      </c>
      <c r="D29" s="172" t="s">
        <v>312</v>
      </c>
      <c r="E29" s="173"/>
      <c r="F29" s="90">
        <f>ROUND(C29*(21/100),2)</f>
        <v>0</v>
      </c>
      <c r="G29" s="172" t="s">
        <v>326</v>
      </c>
      <c r="H29" s="173"/>
      <c r="I29" s="90">
        <f>SUM(F28:F29)+I28</f>
        <v>0</v>
      </c>
      <c r="J29" s="39"/>
    </row>
    <row r="30" spans="1:9" ht="12.75">
      <c r="A30" s="81"/>
      <c r="B30" s="81"/>
      <c r="C30" s="81"/>
      <c r="D30" s="81"/>
      <c r="E30" s="81"/>
      <c r="F30" s="81"/>
      <c r="G30" s="81"/>
      <c r="H30" s="81"/>
      <c r="I30" s="81"/>
    </row>
    <row r="31" spans="1:10" ht="14.25" customHeight="1">
      <c r="A31" s="174" t="s">
        <v>300</v>
      </c>
      <c r="B31" s="175"/>
      <c r="C31" s="176"/>
      <c r="D31" s="174" t="s">
        <v>313</v>
      </c>
      <c r="E31" s="175"/>
      <c r="F31" s="176"/>
      <c r="G31" s="174" t="s">
        <v>327</v>
      </c>
      <c r="H31" s="175"/>
      <c r="I31" s="176"/>
      <c r="J31" s="40"/>
    </row>
    <row r="32" spans="1:10" ht="14.25" customHeight="1">
      <c r="A32" s="177"/>
      <c r="B32" s="178"/>
      <c r="C32" s="179"/>
      <c r="D32" s="177"/>
      <c r="E32" s="178"/>
      <c r="F32" s="179"/>
      <c r="G32" s="177"/>
      <c r="H32" s="178"/>
      <c r="I32" s="179"/>
      <c r="J32" s="40"/>
    </row>
    <row r="33" spans="1:10" ht="14.25" customHeight="1">
      <c r="A33" s="177"/>
      <c r="B33" s="178"/>
      <c r="C33" s="179"/>
      <c r="D33" s="177"/>
      <c r="E33" s="178"/>
      <c r="F33" s="179"/>
      <c r="G33" s="177"/>
      <c r="H33" s="178"/>
      <c r="I33" s="179"/>
      <c r="J33" s="40"/>
    </row>
    <row r="34" spans="1:10" ht="14.25" customHeight="1">
      <c r="A34" s="177"/>
      <c r="B34" s="178"/>
      <c r="C34" s="179"/>
      <c r="D34" s="177"/>
      <c r="E34" s="178"/>
      <c r="F34" s="179"/>
      <c r="G34" s="177"/>
      <c r="H34" s="178"/>
      <c r="I34" s="179"/>
      <c r="J34" s="40"/>
    </row>
    <row r="35" spans="1:10" ht="14.25" customHeight="1">
      <c r="A35" s="180" t="s">
        <v>301</v>
      </c>
      <c r="B35" s="181"/>
      <c r="C35" s="182"/>
      <c r="D35" s="180" t="s">
        <v>301</v>
      </c>
      <c r="E35" s="181"/>
      <c r="F35" s="182"/>
      <c r="G35" s="180" t="s">
        <v>301</v>
      </c>
      <c r="H35" s="181"/>
      <c r="I35" s="182"/>
      <c r="J35" s="40"/>
    </row>
    <row r="36" spans="1:9" ht="11.25" customHeight="1">
      <c r="A36" s="82" t="s">
        <v>55</v>
      </c>
      <c r="B36" s="84"/>
      <c r="C36" s="84"/>
      <c r="D36" s="84"/>
      <c r="E36" s="84"/>
      <c r="F36" s="84"/>
      <c r="G36" s="84"/>
      <c r="H36" s="84"/>
      <c r="I36" s="84"/>
    </row>
    <row r="37" spans="1:9" ht="12.75">
      <c r="A37" s="120"/>
      <c r="B37" s="111"/>
      <c r="C37" s="111"/>
      <c r="D37" s="111"/>
      <c r="E37" s="111"/>
      <c r="F37" s="111"/>
      <c r="G37" s="111"/>
      <c r="H37" s="111"/>
      <c r="I37" s="111"/>
    </row>
  </sheetData>
  <sheetProtection password="CF62" sheet="1"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0">
      <selection activeCell="H21" sqref="H2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2.75" customHeight="1">
      <c r="A1" s="101"/>
      <c r="B1" s="64"/>
      <c r="C1" s="159" t="s">
        <v>342</v>
      </c>
      <c r="D1" s="107"/>
      <c r="E1" s="107"/>
      <c r="F1" s="107"/>
      <c r="G1" s="107"/>
      <c r="H1" s="107"/>
      <c r="I1" s="107"/>
    </row>
    <row r="2" spans="1:10" ht="12.75">
      <c r="A2" s="108" t="s">
        <v>1</v>
      </c>
      <c r="B2" s="109"/>
      <c r="C2" s="112" t="str">
        <f>'Stavební rozpočet'!C2</f>
        <v>Výměna části oken a dveří v areálu Gymnázia Aš</v>
      </c>
      <c r="D2" s="113"/>
      <c r="E2" s="116" t="s">
        <v>189</v>
      </c>
      <c r="F2" s="116" t="str">
        <f>'Stavební rozpočet'!I2</f>
        <v>Gymnázium Aš, příspěvková organizace, Hlavní 106,</v>
      </c>
      <c r="G2" s="109"/>
      <c r="H2" s="116" t="s">
        <v>328</v>
      </c>
      <c r="I2" s="160" t="s">
        <v>332</v>
      </c>
      <c r="J2" s="39"/>
    </row>
    <row r="3" spans="1:10" ht="12.75">
      <c r="A3" s="110"/>
      <c r="B3" s="111"/>
      <c r="C3" s="114"/>
      <c r="D3" s="114"/>
      <c r="E3" s="111"/>
      <c r="F3" s="111"/>
      <c r="G3" s="111"/>
      <c r="H3" s="111"/>
      <c r="I3" s="118"/>
      <c r="J3" s="39"/>
    </row>
    <row r="4" spans="1:10" ht="12.75">
      <c r="A4" s="119" t="s">
        <v>2</v>
      </c>
      <c r="B4" s="111"/>
      <c r="C4" s="120" t="str">
        <f>'Stavební rozpočet'!C4</f>
        <v>Školní budova</v>
      </c>
      <c r="D4" s="111"/>
      <c r="E4" s="120" t="s">
        <v>190</v>
      </c>
      <c r="F4" s="120" t="str">
        <f>'Stavební rozpočet'!I4</f>
        <v>Ing. Jarosklav Radovnický</v>
      </c>
      <c r="G4" s="111"/>
      <c r="H4" s="120" t="s">
        <v>328</v>
      </c>
      <c r="I4" s="161" t="s">
        <v>333</v>
      </c>
      <c r="J4" s="39"/>
    </row>
    <row r="5" spans="1:10" ht="12.75">
      <c r="A5" s="110"/>
      <c r="B5" s="111"/>
      <c r="C5" s="111"/>
      <c r="D5" s="111"/>
      <c r="E5" s="111"/>
      <c r="F5" s="111"/>
      <c r="G5" s="111"/>
      <c r="H5" s="111"/>
      <c r="I5" s="118"/>
      <c r="J5" s="39"/>
    </row>
    <row r="6" spans="1:10" ht="12.75">
      <c r="A6" s="119" t="s">
        <v>3</v>
      </c>
      <c r="B6" s="111"/>
      <c r="C6" s="120" t="str">
        <f>'Stavební rozpočet'!C6</f>
        <v>p.č. 2798/3,2805/9, st.2728, 2729, 2730, 2731 v k.ú. Aš (600521)</v>
      </c>
      <c r="D6" s="111"/>
      <c r="E6" s="120" t="s">
        <v>191</v>
      </c>
      <c r="F6" s="120" t="str">
        <f>'Stavební rozpočet'!I6</f>
        <v> </v>
      </c>
      <c r="G6" s="111"/>
      <c r="H6" s="120" t="s">
        <v>328</v>
      </c>
      <c r="I6" s="161"/>
      <c r="J6" s="39"/>
    </row>
    <row r="7" spans="1:10" ht="12.75">
      <c r="A7" s="110"/>
      <c r="B7" s="111"/>
      <c r="C7" s="111"/>
      <c r="D7" s="111"/>
      <c r="E7" s="111"/>
      <c r="F7" s="111"/>
      <c r="G7" s="111"/>
      <c r="H7" s="111"/>
      <c r="I7" s="118"/>
      <c r="J7" s="39"/>
    </row>
    <row r="8" spans="1:10" ht="12.75">
      <c r="A8" s="119" t="s">
        <v>176</v>
      </c>
      <c r="B8" s="111"/>
      <c r="C8" s="120" t="str">
        <f>'Stavební rozpočet'!G4</f>
        <v> </v>
      </c>
      <c r="D8" s="111"/>
      <c r="E8" s="120" t="s">
        <v>177</v>
      </c>
      <c r="F8" s="120" t="str">
        <f>'Stavební rozpočet'!G6</f>
        <v> </v>
      </c>
      <c r="G8" s="111"/>
      <c r="H8" s="121" t="s">
        <v>329</v>
      </c>
      <c r="I8" s="161" t="s">
        <v>54</v>
      </c>
      <c r="J8" s="39"/>
    </row>
    <row r="9" spans="1:10" ht="12.75">
      <c r="A9" s="110"/>
      <c r="B9" s="111"/>
      <c r="C9" s="111"/>
      <c r="D9" s="111"/>
      <c r="E9" s="111"/>
      <c r="F9" s="111"/>
      <c r="G9" s="111"/>
      <c r="H9" s="111"/>
      <c r="I9" s="118"/>
      <c r="J9" s="39"/>
    </row>
    <row r="10" spans="1:10" ht="12.75">
      <c r="A10" s="119" t="s">
        <v>4</v>
      </c>
      <c r="B10" s="111"/>
      <c r="C10" s="120">
        <f>'Stavební rozpočet'!C8</f>
        <v>8013252</v>
      </c>
      <c r="D10" s="111"/>
      <c r="E10" s="120" t="s">
        <v>192</v>
      </c>
      <c r="F10" s="120" t="str">
        <f>'Stavební rozpočet'!I8</f>
        <v>Ing. Jaroslav Radovnický</v>
      </c>
      <c r="G10" s="111"/>
      <c r="H10" s="121" t="s">
        <v>330</v>
      </c>
      <c r="I10" s="144" t="str">
        <f>'Stavební rozpočet'!G8</f>
        <v>13.04.2021</v>
      </c>
      <c r="J10" s="39"/>
    </row>
    <row r="11" spans="1:10" ht="12.75">
      <c r="A11" s="162"/>
      <c r="B11" s="147"/>
      <c r="C11" s="147"/>
      <c r="D11" s="147"/>
      <c r="E11" s="147"/>
      <c r="F11" s="147"/>
      <c r="G11" s="147"/>
      <c r="H11" s="147"/>
      <c r="I11" s="163"/>
      <c r="J11" s="39"/>
    </row>
    <row r="12" spans="1:9" ht="12.75">
      <c r="A12" s="8"/>
      <c r="B12" s="8"/>
      <c r="C12" s="8"/>
      <c r="D12" s="8"/>
      <c r="E12" s="8"/>
      <c r="F12" s="8"/>
      <c r="G12" s="8"/>
      <c r="H12" s="8"/>
      <c r="I12" s="8"/>
    </row>
    <row r="13" spans="1:9" ht="15" customHeight="1">
      <c r="A13" s="183" t="s">
        <v>334</v>
      </c>
      <c r="B13" s="184"/>
      <c r="C13" s="184"/>
      <c r="D13" s="184"/>
      <c r="E13" s="184"/>
      <c r="F13" s="92"/>
      <c r="G13" s="92"/>
      <c r="H13" s="92"/>
      <c r="I13" s="92"/>
    </row>
    <row r="14" spans="1:10" ht="12.75">
      <c r="A14" s="185" t="s">
        <v>335</v>
      </c>
      <c r="B14" s="186"/>
      <c r="C14" s="186"/>
      <c r="D14" s="186"/>
      <c r="E14" s="187"/>
      <c r="F14" s="93" t="s">
        <v>343</v>
      </c>
      <c r="G14" s="93" t="s">
        <v>344</v>
      </c>
      <c r="H14" s="93" t="s">
        <v>345</v>
      </c>
      <c r="I14" s="93" t="s">
        <v>343</v>
      </c>
      <c r="J14" s="40"/>
    </row>
    <row r="15" spans="1:10" ht="12.75">
      <c r="A15" s="188" t="s">
        <v>306</v>
      </c>
      <c r="B15" s="189"/>
      <c r="C15" s="189"/>
      <c r="D15" s="189"/>
      <c r="E15" s="190"/>
      <c r="F15" s="94">
        <v>0</v>
      </c>
      <c r="G15" s="97"/>
      <c r="H15" s="97"/>
      <c r="I15" s="94">
        <f>F15</f>
        <v>0</v>
      </c>
      <c r="J15" s="39"/>
    </row>
    <row r="16" spans="1:10" ht="12.75">
      <c r="A16" s="188" t="s">
        <v>307</v>
      </c>
      <c r="B16" s="189"/>
      <c r="C16" s="189"/>
      <c r="D16" s="189"/>
      <c r="E16" s="190"/>
      <c r="F16" s="94">
        <v>0</v>
      </c>
      <c r="G16" s="97"/>
      <c r="H16" s="97"/>
      <c r="I16" s="94">
        <f>F16</f>
        <v>0</v>
      </c>
      <c r="J16" s="39"/>
    </row>
    <row r="17" spans="1:10" ht="12.75">
      <c r="A17" s="191" t="s">
        <v>308</v>
      </c>
      <c r="B17" s="192"/>
      <c r="C17" s="192"/>
      <c r="D17" s="192"/>
      <c r="E17" s="193"/>
      <c r="F17" s="95">
        <v>0</v>
      </c>
      <c r="G17" s="98"/>
      <c r="H17" s="98"/>
      <c r="I17" s="95">
        <f>F17</f>
        <v>0</v>
      </c>
      <c r="J17" s="39"/>
    </row>
    <row r="18" spans="1:10" ht="12.75">
      <c r="A18" s="148" t="s">
        <v>336</v>
      </c>
      <c r="B18" s="194"/>
      <c r="C18" s="194"/>
      <c r="D18" s="194"/>
      <c r="E18" s="195"/>
      <c r="F18" s="96"/>
      <c r="G18" s="99"/>
      <c r="H18" s="99"/>
      <c r="I18" s="100">
        <f>SUM(I15:I17)</f>
        <v>0</v>
      </c>
      <c r="J18" s="40"/>
    </row>
    <row r="19" spans="1:9" ht="12.75">
      <c r="A19" s="91"/>
      <c r="B19" s="91"/>
      <c r="C19" s="91"/>
      <c r="D19" s="91"/>
      <c r="E19" s="91"/>
      <c r="F19" s="91"/>
      <c r="G19" s="91"/>
      <c r="H19" s="91"/>
      <c r="I19" s="91"/>
    </row>
    <row r="20" spans="1:10" ht="12.75">
      <c r="A20" s="185" t="s">
        <v>331</v>
      </c>
      <c r="B20" s="186"/>
      <c r="C20" s="186"/>
      <c r="D20" s="186"/>
      <c r="E20" s="187"/>
      <c r="F20" s="93" t="s">
        <v>343</v>
      </c>
      <c r="G20" s="93" t="s">
        <v>344</v>
      </c>
      <c r="H20" s="93" t="s">
        <v>345</v>
      </c>
      <c r="I20" s="93" t="s">
        <v>343</v>
      </c>
      <c r="J20" s="40"/>
    </row>
    <row r="21" spans="1:10" ht="12.75">
      <c r="A21" s="188" t="s">
        <v>316</v>
      </c>
      <c r="B21" s="189"/>
      <c r="C21" s="189"/>
      <c r="D21" s="189"/>
      <c r="E21" s="190"/>
      <c r="F21" s="105">
        <v>0</v>
      </c>
      <c r="G21" s="97"/>
      <c r="H21" s="97"/>
      <c r="I21" s="94">
        <f>F21</f>
        <v>0</v>
      </c>
      <c r="J21" s="39"/>
    </row>
    <row r="22" spans="1:10" ht="12.75">
      <c r="A22" s="188" t="s">
        <v>317</v>
      </c>
      <c r="B22" s="189"/>
      <c r="C22" s="189"/>
      <c r="D22" s="189"/>
      <c r="E22" s="190"/>
      <c r="F22" s="105">
        <v>0</v>
      </c>
      <c r="G22" s="97"/>
      <c r="H22" s="97"/>
      <c r="I22" s="94">
        <f>F22</f>
        <v>0</v>
      </c>
      <c r="J22" s="39"/>
    </row>
    <row r="23" spans="1:10" ht="12.75">
      <c r="A23" s="188" t="s">
        <v>318</v>
      </c>
      <c r="B23" s="189"/>
      <c r="C23" s="189"/>
      <c r="D23" s="189"/>
      <c r="E23" s="190"/>
      <c r="F23" s="105">
        <v>0</v>
      </c>
      <c r="G23" s="97"/>
      <c r="H23" s="97"/>
      <c r="I23" s="94">
        <f>F23</f>
        <v>0</v>
      </c>
      <c r="J23" s="39"/>
    </row>
    <row r="24" spans="1:10" ht="12.75">
      <c r="A24" s="188" t="s">
        <v>319</v>
      </c>
      <c r="B24" s="189"/>
      <c r="C24" s="189"/>
      <c r="D24" s="189"/>
      <c r="E24" s="190"/>
      <c r="F24" s="105">
        <v>0</v>
      </c>
      <c r="G24" s="97"/>
      <c r="H24" s="97"/>
      <c r="I24" s="94">
        <f>F24</f>
        <v>0</v>
      </c>
      <c r="J24" s="39"/>
    </row>
    <row r="25" spans="1:10" ht="13.5" thickBot="1">
      <c r="A25" s="188" t="s">
        <v>320</v>
      </c>
      <c r="B25" s="189"/>
      <c r="C25" s="189"/>
      <c r="D25" s="189"/>
      <c r="E25" s="190"/>
      <c r="F25" s="105">
        <v>0</v>
      </c>
      <c r="G25" s="97"/>
      <c r="H25" s="97"/>
      <c r="I25" s="94">
        <f>F25</f>
        <v>0</v>
      </c>
      <c r="J25" s="39"/>
    </row>
    <row r="26" spans="1:10" ht="13.5" thickBot="1">
      <c r="A26" s="148" t="s">
        <v>337</v>
      </c>
      <c r="B26" s="194"/>
      <c r="C26" s="194"/>
      <c r="D26" s="194"/>
      <c r="E26" s="195"/>
      <c r="F26" s="96"/>
      <c r="G26" s="99"/>
      <c r="H26" s="99"/>
      <c r="I26" s="100">
        <f>SUM(I21:I25)</f>
        <v>0</v>
      </c>
      <c r="J26" s="40"/>
    </row>
    <row r="27" spans="1:9" ht="12.75">
      <c r="A27" s="91"/>
      <c r="B27" s="91"/>
      <c r="C27" s="91"/>
      <c r="D27" s="91"/>
      <c r="E27" s="91"/>
      <c r="F27" s="91"/>
      <c r="G27" s="91"/>
      <c r="H27" s="91"/>
      <c r="I27" s="91"/>
    </row>
    <row r="28" spans="1:10" ht="15" customHeight="1">
      <c r="A28" s="196" t="s">
        <v>338</v>
      </c>
      <c r="B28" s="197"/>
      <c r="C28" s="197"/>
      <c r="D28" s="197"/>
      <c r="E28" s="198"/>
      <c r="F28" s="199">
        <f>I18+I26</f>
        <v>0</v>
      </c>
      <c r="G28" s="200"/>
      <c r="H28" s="200"/>
      <c r="I28" s="201"/>
      <c r="J28" s="40"/>
    </row>
    <row r="29" spans="1:9" ht="12.75">
      <c r="A29" s="84"/>
      <c r="B29" s="84"/>
      <c r="C29" s="84"/>
      <c r="D29" s="84"/>
      <c r="E29" s="84"/>
      <c r="F29" s="84"/>
      <c r="G29" s="84"/>
      <c r="H29" s="84"/>
      <c r="I29" s="84"/>
    </row>
    <row r="32" spans="1:9" ht="15" customHeight="1">
      <c r="A32" s="183" t="s">
        <v>339</v>
      </c>
      <c r="B32" s="184"/>
      <c r="C32" s="184"/>
      <c r="D32" s="184"/>
      <c r="E32" s="184"/>
      <c r="F32" s="92"/>
      <c r="G32" s="92"/>
      <c r="H32" s="92"/>
      <c r="I32" s="92"/>
    </row>
    <row r="33" spans="1:10" ht="12.75">
      <c r="A33" s="185" t="s">
        <v>340</v>
      </c>
      <c r="B33" s="186"/>
      <c r="C33" s="186"/>
      <c r="D33" s="186"/>
      <c r="E33" s="187"/>
      <c r="F33" s="93" t="s">
        <v>343</v>
      </c>
      <c r="G33" s="93" t="s">
        <v>344</v>
      </c>
      <c r="H33" s="93" t="s">
        <v>345</v>
      </c>
      <c r="I33" s="93" t="s">
        <v>343</v>
      </c>
      <c r="J33" s="40"/>
    </row>
    <row r="34" spans="1:10" ht="12.75">
      <c r="A34" s="188" t="s">
        <v>346</v>
      </c>
      <c r="B34" s="189"/>
      <c r="C34" s="189"/>
      <c r="D34" s="189"/>
      <c r="E34" s="190"/>
      <c r="F34" s="105">
        <v>0</v>
      </c>
      <c r="G34" s="97"/>
      <c r="H34" s="97"/>
      <c r="I34" s="94">
        <f>F34</f>
        <v>0</v>
      </c>
      <c r="J34" s="39"/>
    </row>
    <row r="35" spans="1:10" ht="12.75">
      <c r="A35" s="188" t="s">
        <v>347</v>
      </c>
      <c r="B35" s="189"/>
      <c r="C35" s="189"/>
      <c r="D35" s="189"/>
      <c r="E35" s="190"/>
      <c r="F35" s="105">
        <v>0</v>
      </c>
      <c r="G35" s="97"/>
      <c r="H35" s="97"/>
      <c r="I35" s="94">
        <f>F35</f>
        <v>0</v>
      </c>
      <c r="J35" s="39"/>
    </row>
    <row r="36" spans="1:10" ht="27.75" customHeight="1">
      <c r="A36" s="202" t="s">
        <v>351</v>
      </c>
      <c r="B36" s="203"/>
      <c r="C36" s="203"/>
      <c r="D36" s="203"/>
      <c r="E36" s="204"/>
      <c r="F36" s="105">
        <v>0</v>
      </c>
      <c r="G36" s="97"/>
      <c r="H36" s="97"/>
      <c r="I36" s="94">
        <f>F36</f>
        <v>0</v>
      </c>
      <c r="J36" s="39"/>
    </row>
    <row r="37" spans="1:10" ht="24.75" customHeight="1" thickBot="1">
      <c r="A37" s="202" t="s">
        <v>348</v>
      </c>
      <c r="B37" s="203"/>
      <c r="C37" s="203"/>
      <c r="D37" s="203"/>
      <c r="E37" s="204"/>
      <c r="F37" s="105">
        <v>0</v>
      </c>
      <c r="G37" s="97"/>
      <c r="H37" s="97"/>
      <c r="I37" s="94">
        <f>F37</f>
        <v>0</v>
      </c>
      <c r="J37" s="39"/>
    </row>
    <row r="38" spans="1:10" ht="13.5" thickBot="1">
      <c r="A38" s="148" t="s">
        <v>341</v>
      </c>
      <c r="B38" s="194"/>
      <c r="C38" s="194"/>
      <c r="D38" s="194"/>
      <c r="E38" s="195"/>
      <c r="F38" s="96"/>
      <c r="G38" s="99"/>
      <c r="H38" s="99"/>
      <c r="I38" s="100">
        <f>SUM(I34:I37)</f>
        <v>0</v>
      </c>
      <c r="J38" s="40"/>
    </row>
    <row r="39" spans="1:9" ht="12.75">
      <c r="A39" s="84"/>
      <c r="B39" s="84"/>
      <c r="C39" s="84"/>
      <c r="D39" s="84"/>
      <c r="E39" s="84"/>
      <c r="F39" s="84"/>
      <c r="G39" s="84"/>
      <c r="H39" s="84"/>
      <c r="I39" s="84"/>
    </row>
  </sheetData>
  <sheetProtection password="CF62" sheet="1"/>
  <mergeCells count="53">
    <mergeCell ref="A38:E38"/>
    <mergeCell ref="A34:E34"/>
    <mergeCell ref="A35:E35"/>
    <mergeCell ref="A36:E36"/>
    <mergeCell ref="A37:E37"/>
    <mergeCell ref="A26:E26"/>
    <mergeCell ref="A28:E28"/>
    <mergeCell ref="F28:I28"/>
    <mergeCell ref="A32:E32"/>
    <mergeCell ref="A33:E33"/>
    <mergeCell ref="A20:E20"/>
    <mergeCell ref="A21:E21"/>
    <mergeCell ref="A22:E22"/>
    <mergeCell ref="A23:E23"/>
    <mergeCell ref="A24:E24"/>
    <mergeCell ref="A25:E25"/>
    <mergeCell ref="A13:E13"/>
    <mergeCell ref="A14:E14"/>
    <mergeCell ref="A15:E15"/>
    <mergeCell ref="A16:E16"/>
    <mergeCell ref="A17:E17"/>
    <mergeCell ref="A18:E18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19.57421875" style="0" customWidth="1"/>
    <col min="2" max="2" width="12.00390625" style="0" customWidth="1"/>
    <col min="3" max="7" width="19.57421875" style="0" customWidth="1"/>
  </cols>
  <sheetData>
    <row r="1" spans="1:7" ht="23.25">
      <c r="A1" s="106" t="s">
        <v>349</v>
      </c>
      <c r="B1" s="107"/>
      <c r="C1" s="107"/>
      <c r="D1" s="107"/>
      <c r="E1" s="107"/>
      <c r="F1" s="107"/>
      <c r="G1" s="107"/>
    </row>
    <row r="2" spans="1:7" ht="12.75">
      <c r="A2" s="108" t="s">
        <v>1</v>
      </c>
      <c r="B2" s="109"/>
      <c r="C2" s="112" t="str">
        <f>'Stavební rozpočet'!C2</f>
        <v>Výměna části oken a dveří v areálu Gymnázia Aš</v>
      </c>
      <c r="D2" s="115" t="s">
        <v>175</v>
      </c>
      <c r="E2" s="115" t="s">
        <v>6</v>
      </c>
      <c r="F2" s="116" t="s">
        <v>189</v>
      </c>
      <c r="G2" s="143" t="str">
        <f>'Stavební rozpočet'!I2</f>
        <v>Gymnázium Aš, příspěvková organizace, Hlavní 106,</v>
      </c>
    </row>
    <row r="3" spans="1:7" ht="12.75">
      <c r="A3" s="110"/>
      <c r="B3" s="111"/>
      <c r="C3" s="114"/>
      <c r="D3" s="111"/>
      <c r="E3" s="111"/>
      <c r="F3" s="111"/>
      <c r="G3" s="118"/>
    </row>
    <row r="4" spans="1:7" ht="12.75">
      <c r="A4" s="119" t="s">
        <v>2</v>
      </c>
      <c r="B4" s="111"/>
      <c r="C4" s="120" t="str">
        <f>'Stavební rozpočet'!C4</f>
        <v>Školní budova</v>
      </c>
      <c r="D4" s="121" t="s">
        <v>176</v>
      </c>
      <c r="E4" s="121" t="s">
        <v>6</v>
      </c>
      <c r="F4" s="120" t="s">
        <v>190</v>
      </c>
      <c r="G4" s="144" t="str">
        <f>'Stavební rozpočet'!I4</f>
        <v>Ing. Jarosklav Radovnický</v>
      </c>
    </row>
    <row r="5" spans="1:7" ht="12.75">
      <c r="A5" s="110"/>
      <c r="B5" s="111"/>
      <c r="C5" s="111"/>
      <c r="D5" s="111"/>
      <c r="E5" s="111"/>
      <c r="F5" s="111"/>
      <c r="G5" s="118"/>
    </row>
    <row r="6" spans="1:7" ht="12.75">
      <c r="A6" s="119" t="s">
        <v>3</v>
      </c>
      <c r="B6" s="111"/>
      <c r="C6" s="120" t="str">
        <f>'Stavební rozpočet'!C6</f>
        <v>p.č. 2798/3,2805/9, st.2728, 2729, 2730, 2731 v k.ú. Aš (600521)</v>
      </c>
      <c r="D6" s="121" t="s">
        <v>177</v>
      </c>
      <c r="E6" s="121" t="s">
        <v>6</v>
      </c>
      <c r="F6" s="120" t="s">
        <v>191</v>
      </c>
      <c r="G6" s="144" t="str">
        <f>'Stavební rozpočet'!I6</f>
        <v> </v>
      </c>
    </row>
    <row r="7" spans="1:7" ht="12.75">
      <c r="A7" s="110"/>
      <c r="B7" s="111"/>
      <c r="C7" s="111"/>
      <c r="D7" s="111"/>
      <c r="E7" s="111"/>
      <c r="F7" s="111"/>
      <c r="G7" s="118"/>
    </row>
    <row r="8" spans="1:7" ht="12.75">
      <c r="A8" s="119" t="s">
        <v>192</v>
      </c>
      <c r="B8" s="111"/>
      <c r="C8" s="120" t="str">
        <f>'Stavební rozpočet'!I8</f>
        <v>Ing. Jaroslav Radovnický</v>
      </c>
      <c r="D8" s="121" t="s">
        <v>178</v>
      </c>
      <c r="E8" s="121" t="s">
        <v>186</v>
      </c>
      <c r="F8" s="121" t="s">
        <v>178</v>
      </c>
      <c r="G8" s="144" t="str">
        <f>'Stavební rozpočet'!G8</f>
        <v>13.04.2021</v>
      </c>
    </row>
    <row r="9" spans="1:7" ht="13.5" thickBot="1">
      <c r="A9" s="122"/>
      <c r="B9" s="123"/>
      <c r="C9" s="123"/>
      <c r="D9" s="123"/>
      <c r="E9" s="123"/>
      <c r="F9" s="123"/>
      <c r="G9" s="124"/>
    </row>
    <row r="11" spans="1:6" ht="20.25">
      <c r="A11" s="205" t="s">
        <v>350</v>
      </c>
      <c r="B11" s="205"/>
      <c r="C11" s="205"/>
      <c r="D11" s="205"/>
      <c r="E11" s="205"/>
      <c r="F11" s="205"/>
    </row>
  </sheetData>
  <sheetProtection password="CF62" sheet="1" objects="1" scenarios="1"/>
  <mergeCells count="26">
    <mergeCell ref="A11:F11"/>
    <mergeCell ref="A8:B9"/>
    <mergeCell ref="C8:C9"/>
    <mergeCell ref="D8:D9"/>
    <mergeCell ref="E8:E9"/>
    <mergeCell ref="F8:F9"/>
    <mergeCell ref="G8:G9"/>
    <mergeCell ref="A6:B7"/>
    <mergeCell ref="C6:C7"/>
    <mergeCell ref="D6:D7"/>
    <mergeCell ref="E6:E7"/>
    <mergeCell ref="F6:F7"/>
    <mergeCell ref="G6:G7"/>
    <mergeCell ref="A4:B5"/>
    <mergeCell ref="C4:C5"/>
    <mergeCell ref="D4:D5"/>
    <mergeCell ref="E4:E5"/>
    <mergeCell ref="F4:F5"/>
    <mergeCell ref="G4:G5"/>
    <mergeCell ref="A1:G1"/>
    <mergeCell ref="A2:B3"/>
    <mergeCell ref="C2:C3"/>
    <mergeCell ref="D2:D3"/>
    <mergeCell ref="E2:E3"/>
    <mergeCell ref="F2:F3"/>
    <mergeCell ref="G2:G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Uživatel systému Windows</cp:lastModifiedBy>
  <cp:lastPrinted>2021-04-26T14:11:30Z</cp:lastPrinted>
  <dcterms:modified xsi:type="dcterms:W3CDTF">2021-04-26T15:03:22Z</dcterms:modified>
  <cp:category/>
  <cp:version/>
  <cp:contentType/>
  <cp:contentStatus/>
</cp:coreProperties>
</file>