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9660" windowHeight="5490"/>
  </bookViews>
  <sheets>
    <sheet name="Stavební rozpočet" sheetId="1" r:id="rId1"/>
    <sheet name="Stavební rozpočet - součet" sheetId="2" r:id="rId2"/>
    <sheet name="Výkaz výměr" sheetId="3" r:id="rId3"/>
    <sheet name="Harmonogram" sheetId="4" r:id="rId4"/>
    <sheet name="Čerpání rozpočtu" sheetId="5" r:id="rId5"/>
    <sheet name="Krycí list rozpočtu" sheetId="6" r:id="rId6"/>
  </sheets>
  <calcPr calcId="145621"/>
</workbook>
</file>

<file path=xl/calcChain.xml><?xml version="1.0" encoding="utf-8"?>
<calcChain xmlns="http://schemas.openxmlformats.org/spreadsheetml/2006/main">
  <c r="G11" i="5" l="1"/>
  <c r="H11" i="5" s="1"/>
  <c r="I11" i="5"/>
  <c r="H12" i="5"/>
  <c r="I12" i="5"/>
  <c r="H13" i="5"/>
  <c r="I13" i="5"/>
  <c r="G14" i="5"/>
  <c r="H14" i="5" s="1"/>
  <c r="I14" i="5"/>
  <c r="H15" i="5"/>
  <c r="I15" i="5"/>
  <c r="H16" i="5"/>
  <c r="I16" i="5"/>
  <c r="H17" i="5"/>
  <c r="I17" i="5"/>
  <c r="H18" i="5"/>
  <c r="I18" i="5"/>
  <c r="H19" i="5"/>
  <c r="I19" i="5"/>
  <c r="H20" i="5"/>
  <c r="I20" i="5"/>
  <c r="H21" i="5"/>
  <c r="I21" i="5"/>
  <c r="H22" i="5"/>
  <c r="I22" i="5"/>
  <c r="G23" i="5"/>
  <c r="H23" i="5" s="1"/>
  <c r="I23" i="5"/>
  <c r="H24" i="5"/>
  <c r="I24" i="5"/>
  <c r="H25" i="5"/>
  <c r="I25" i="5"/>
  <c r="H26" i="5"/>
  <c r="I26" i="5"/>
  <c r="G27" i="5"/>
  <c r="H27" i="5" s="1"/>
  <c r="I27" i="5"/>
  <c r="H28" i="5"/>
  <c r="I28" i="5"/>
  <c r="G29" i="5"/>
  <c r="H29" i="5" s="1"/>
  <c r="I29" i="5"/>
  <c r="H30" i="5"/>
  <c r="I30" i="5"/>
  <c r="H31" i="5"/>
  <c r="I31" i="5"/>
  <c r="H32" i="5"/>
  <c r="I32" i="5"/>
  <c r="G33" i="5"/>
  <c r="H33" i="5"/>
  <c r="I33" i="5"/>
  <c r="H34" i="5"/>
  <c r="I34" i="5"/>
  <c r="H35" i="5"/>
  <c r="I35" i="5"/>
  <c r="G36" i="5"/>
  <c r="H36" i="5" s="1"/>
  <c r="I36" i="5"/>
  <c r="H37" i="5"/>
  <c r="I37" i="5"/>
  <c r="H38" i="5"/>
  <c r="I38" i="5"/>
  <c r="G39" i="5"/>
  <c r="H39" i="5" s="1"/>
  <c r="I39" i="5"/>
  <c r="H40" i="5"/>
  <c r="I40" i="5"/>
  <c r="H41" i="5"/>
  <c r="I41" i="5"/>
  <c r="H42" i="5"/>
  <c r="I42" i="5"/>
  <c r="H43" i="5"/>
  <c r="I43" i="5"/>
  <c r="G44" i="5"/>
  <c r="H44" i="5" s="1"/>
  <c r="I44" i="5"/>
  <c r="H45" i="5"/>
  <c r="I45" i="5"/>
  <c r="H46" i="5"/>
  <c r="I46" i="5"/>
  <c r="H47" i="5"/>
  <c r="I47" i="5"/>
  <c r="H48" i="5"/>
  <c r="I48" i="5"/>
  <c r="H49" i="5"/>
  <c r="I49" i="5"/>
  <c r="H50" i="5"/>
  <c r="I50" i="5"/>
  <c r="G51" i="5"/>
  <c r="H51" i="5"/>
  <c r="I51" i="5"/>
  <c r="H52" i="5"/>
  <c r="I52" i="5"/>
  <c r="H53" i="5"/>
  <c r="I53" i="5"/>
  <c r="G54" i="5"/>
  <c r="H54" i="5" s="1"/>
  <c r="I54" i="5"/>
  <c r="H55" i="5"/>
  <c r="I55" i="5"/>
  <c r="H56" i="5"/>
  <c r="I56" i="5"/>
  <c r="H57" i="5"/>
  <c r="I57" i="5"/>
  <c r="H58" i="5"/>
  <c r="I58" i="5"/>
  <c r="H59" i="5"/>
  <c r="I59" i="5"/>
  <c r="H60" i="5"/>
  <c r="I60" i="5"/>
  <c r="F22" i="6"/>
  <c r="I22" i="6"/>
  <c r="T12" i="1"/>
  <c r="U12" i="1"/>
  <c r="V12" i="1"/>
  <c r="C18" i="6" s="1"/>
  <c r="W12" i="1"/>
  <c r="X12" i="1"/>
  <c r="J13" i="1"/>
  <c r="L13" i="1"/>
  <c r="L12" i="1" s="1"/>
  <c r="O13" i="1"/>
  <c r="P12" i="1" s="1"/>
  <c r="Z13" i="1"/>
  <c r="AA13" i="1"/>
  <c r="AA88" i="1" s="1"/>
  <c r="AE13" i="1"/>
  <c r="H13" i="1" s="1"/>
  <c r="AF13" i="1"/>
  <c r="AM13" i="1"/>
  <c r="AN13" i="1"/>
  <c r="J15" i="1"/>
  <c r="L15" i="1"/>
  <c r="O15" i="1"/>
  <c r="Z15" i="1"/>
  <c r="AA15" i="1"/>
  <c r="AE15" i="1"/>
  <c r="H15" i="1" s="1"/>
  <c r="AF15" i="1"/>
  <c r="AM15" i="1"/>
  <c r="AN15" i="1"/>
  <c r="T17" i="1"/>
  <c r="U17" i="1"/>
  <c r="V17" i="1"/>
  <c r="W17" i="1"/>
  <c r="X17" i="1"/>
  <c r="J18" i="1"/>
  <c r="L18" i="1"/>
  <c r="O18" i="1"/>
  <c r="P17" i="1" s="1"/>
  <c r="Z18" i="1"/>
  <c r="AI17" i="1" s="1"/>
  <c r="AA18" i="1"/>
  <c r="AJ17" i="1" s="1"/>
  <c r="AB18" i="1"/>
  <c r="AK17" i="1" s="1"/>
  <c r="AE18" i="1"/>
  <c r="H18" i="1" s="1"/>
  <c r="AF18" i="1"/>
  <c r="AM18" i="1"/>
  <c r="AN18" i="1"/>
  <c r="J20" i="1"/>
  <c r="I20" i="1" s="1"/>
  <c r="L20" i="1"/>
  <c r="O20" i="1"/>
  <c r="Z20" i="1"/>
  <c r="AA20" i="1"/>
  <c r="AB20" i="1"/>
  <c r="AE20" i="1"/>
  <c r="H20" i="1" s="1"/>
  <c r="AF20" i="1"/>
  <c r="AM20" i="1"/>
  <c r="AN20" i="1"/>
  <c r="J22" i="1"/>
  <c r="L22" i="1"/>
  <c r="O22" i="1"/>
  <c r="Z22" i="1"/>
  <c r="AA22" i="1"/>
  <c r="AB22" i="1"/>
  <c r="AE22" i="1"/>
  <c r="H22" i="1" s="1"/>
  <c r="AF22" i="1"/>
  <c r="AM22" i="1"/>
  <c r="AN22" i="1"/>
  <c r="J24" i="1"/>
  <c r="I24" i="1" s="1"/>
  <c r="L24" i="1"/>
  <c r="O24" i="1"/>
  <c r="Z24" i="1"/>
  <c r="AA24" i="1"/>
  <c r="AB24" i="1"/>
  <c r="AE24" i="1"/>
  <c r="H24" i="1" s="1"/>
  <c r="AF24" i="1"/>
  <c r="AM24" i="1"/>
  <c r="AN24" i="1"/>
  <c r="J26" i="1"/>
  <c r="L26" i="1"/>
  <c r="O26" i="1"/>
  <c r="Z26" i="1"/>
  <c r="AA26" i="1"/>
  <c r="AB26" i="1"/>
  <c r="AE26" i="1"/>
  <c r="H26" i="1" s="1"/>
  <c r="AF26" i="1"/>
  <c r="AM26" i="1"/>
  <c r="AN26" i="1"/>
  <c r="J28" i="1"/>
  <c r="I28" i="1" s="1"/>
  <c r="L28" i="1"/>
  <c r="O28" i="1"/>
  <c r="Z28" i="1"/>
  <c r="AA28" i="1"/>
  <c r="AB28" i="1"/>
  <c r="AE28" i="1"/>
  <c r="H28" i="1" s="1"/>
  <c r="AF28" i="1"/>
  <c r="AM28" i="1"/>
  <c r="AN28" i="1"/>
  <c r="J30" i="1"/>
  <c r="L30" i="1"/>
  <c r="O30" i="1"/>
  <c r="Z30" i="1"/>
  <c r="AA30" i="1"/>
  <c r="AB30" i="1"/>
  <c r="AE30" i="1"/>
  <c r="H30" i="1" s="1"/>
  <c r="AF30" i="1"/>
  <c r="AM30" i="1"/>
  <c r="AN30" i="1"/>
  <c r="J31" i="1"/>
  <c r="I31" i="1" s="1"/>
  <c r="L31" i="1"/>
  <c r="O31" i="1"/>
  <c r="Z31" i="1"/>
  <c r="AA31" i="1"/>
  <c r="AB31" i="1"/>
  <c r="AE31" i="1"/>
  <c r="H31" i="1" s="1"/>
  <c r="AF31" i="1"/>
  <c r="AM31" i="1"/>
  <c r="AN31" i="1"/>
  <c r="L33" i="1"/>
  <c r="T33" i="1"/>
  <c r="U33" i="1"/>
  <c r="V33" i="1"/>
  <c r="W33" i="1"/>
  <c r="X33" i="1"/>
  <c r="H34" i="1"/>
  <c r="J34" i="1"/>
  <c r="L34" i="1"/>
  <c r="O34" i="1"/>
  <c r="Z34" i="1"/>
  <c r="AI33" i="1" s="1"/>
  <c r="AA34" i="1"/>
  <c r="AJ33" i="1" s="1"/>
  <c r="AB34" i="1"/>
  <c r="AK33" i="1" s="1"/>
  <c r="AE34" i="1"/>
  <c r="AM34" i="1" s="1"/>
  <c r="AF34" i="1"/>
  <c r="AN34" i="1"/>
  <c r="H36" i="1"/>
  <c r="I36" i="1" s="1"/>
  <c r="J36" i="1"/>
  <c r="L36" i="1"/>
  <c r="O36" i="1"/>
  <c r="Z36" i="1"/>
  <c r="AA36" i="1"/>
  <c r="AB36" i="1"/>
  <c r="AE36" i="1"/>
  <c r="AM36" i="1" s="1"/>
  <c r="AF36" i="1"/>
  <c r="AN36" i="1"/>
  <c r="H38" i="1"/>
  <c r="I38" i="1" s="1"/>
  <c r="J38" i="1"/>
  <c r="L38" i="1"/>
  <c r="O38" i="1"/>
  <c r="Z38" i="1"/>
  <c r="AA38" i="1"/>
  <c r="AB38" i="1"/>
  <c r="AE38" i="1"/>
  <c r="AM38" i="1" s="1"/>
  <c r="AF38" i="1"/>
  <c r="AN38" i="1"/>
  <c r="L40" i="1"/>
  <c r="P40" i="1"/>
  <c r="R40" i="1"/>
  <c r="S40" i="1"/>
  <c r="V40" i="1"/>
  <c r="W40" i="1"/>
  <c r="X40" i="1"/>
  <c r="I41" i="1"/>
  <c r="I40" i="1" s="1"/>
  <c r="U40" i="1" s="1"/>
  <c r="J41" i="1"/>
  <c r="AB41" i="1" s="1"/>
  <c r="AK40" i="1" s="1"/>
  <c r="L41" i="1"/>
  <c r="O41" i="1"/>
  <c r="Z41" i="1"/>
  <c r="Z88" i="1" s="1"/>
  <c r="AA41" i="1"/>
  <c r="AJ40" i="1" s="1"/>
  <c r="AE41" i="1"/>
  <c r="H41" i="1" s="1"/>
  <c r="H40" i="1" s="1"/>
  <c r="AF41" i="1"/>
  <c r="AN41" i="1" s="1"/>
  <c r="R43" i="1"/>
  <c r="S43" i="1"/>
  <c r="V43" i="1"/>
  <c r="W43" i="1"/>
  <c r="X43" i="1"/>
  <c r="J44" i="1"/>
  <c r="L44" i="1"/>
  <c r="L43" i="1" s="1"/>
  <c r="O44" i="1"/>
  <c r="Z44" i="1"/>
  <c r="AI43" i="1" s="1"/>
  <c r="AA44" i="1"/>
  <c r="AE44" i="1"/>
  <c r="H44" i="1" s="1"/>
  <c r="H43" i="1" s="1"/>
  <c r="AF44" i="1"/>
  <c r="AN44" i="1" s="1"/>
  <c r="AM44" i="1"/>
  <c r="J45" i="1"/>
  <c r="L45" i="1"/>
  <c r="O45" i="1"/>
  <c r="Z45" i="1"/>
  <c r="AA45" i="1"/>
  <c r="AE45" i="1"/>
  <c r="H45" i="1" s="1"/>
  <c r="AF45" i="1"/>
  <c r="AN45" i="1" s="1"/>
  <c r="AM45" i="1"/>
  <c r="J46" i="1"/>
  <c r="L46" i="1"/>
  <c r="Z46" i="1"/>
  <c r="AA46" i="1"/>
  <c r="AJ43" i="1" s="1"/>
  <c r="AE46" i="1"/>
  <c r="H46" i="1" s="1"/>
  <c r="AF46" i="1"/>
  <c r="AN46" i="1" s="1"/>
  <c r="AM46" i="1"/>
  <c r="R48" i="1"/>
  <c r="S48" i="1"/>
  <c r="V48" i="1"/>
  <c r="W48" i="1"/>
  <c r="X48" i="1"/>
  <c r="J49" i="1"/>
  <c r="L49" i="1"/>
  <c r="O49" i="1"/>
  <c r="P48" i="1" s="1"/>
  <c r="Z49" i="1"/>
  <c r="AI48" i="1" s="1"/>
  <c r="AA49" i="1"/>
  <c r="AJ48" i="1" s="1"/>
  <c r="AB49" i="1"/>
  <c r="AE49" i="1"/>
  <c r="H49" i="1" s="1"/>
  <c r="H48" i="1" s="1"/>
  <c r="T48" i="1" s="1"/>
  <c r="AF49" i="1"/>
  <c r="AM49" i="1"/>
  <c r="AN49" i="1"/>
  <c r="J51" i="1"/>
  <c r="I51" i="1" s="1"/>
  <c r="L51" i="1"/>
  <c r="O51" i="1"/>
  <c r="Z51" i="1"/>
  <c r="AA51" i="1"/>
  <c r="AB51" i="1"/>
  <c r="AK48" i="1" s="1"/>
  <c r="AE51" i="1"/>
  <c r="H51" i="1" s="1"/>
  <c r="AF51" i="1"/>
  <c r="AM51" i="1"/>
  <c r="AN51" i="1"/>
  <c r="L53" i="1"/>
  <c r="R53" i="1"/>
  <c r="S53" i="1"/>
  <c r="V53" i="1"/>
  <c r="W53" i="1"/>
  <c r="X53" i="1"/>
  <c r="H54" i="1"/>
  <c r="J54" i="1"/>
  <c r="L54" i="1"/>
  <c r="O54" i="1"/>
  <c r="P53" i="1" s="1"/>
  <c r="Z54" i="1"/>
  <c r="AI53" i="1" s="1"/>
  <c r="AA54" i="1"/>
  <c r="AJ53" i="1" s="1"/>
  <c r="AB54" i="1"/>
  <c r="AK53" i="1" s="1"/>
  <c r="AE54" i="1"/>
  <c r="AM54" i="1" s="1"/>
  <c r="AF54" i="1"/>
  <c r="AN54" i="1"/>
  <c r="H56" i="1"/>
  <c r="I56" i="1" s="1"/>
  <c r="J56" i="1"/>
  <c r="L56" i="1"/>
  <c r="O56" i="1"/>
  <c r="Z56" i="1"/>
  <c r="AA56" i="1"/>
  <c r="AB56" i="1"/>
  <c r="AE56" i="1"/>
  <c r="AM56" i="1" s="1"/>
  <c r="AF56" i="1"/>
  <c r="AN56" i="1"/>
  <c r="L58" i="1"/>
  <c r="R58" i="1"/>
  <c r="S58" i="1"/>
  <c r="V58" i="1"/>
  <c r="W58" i="1"/>
  <c r="X58" i="1"/>
  <c r="J59" i="1"/>
  <c r="AB59" i="1" s="1"/>
  <c r="L59" i="1"/>
  <c r="O59" i="1"/>
  <c r="Z59" i="1"/>
  <c r="AI58" i="1" s="1"/>
  <c r="AA59" i="1"/>
  <c r="AJ58" i="1" s="1"/>
  <c r="AE59" i="1"/>
  <c r="H59" i="1" s="1"/>
  <c r="I59" i="1" s="1"/>
  <c r="AF59" i="1"/>
  <c r="AN59" i="1" s="1"/>
  <c r="I60" i="1"/>
  <c r="O60" i="1" s="1"/>
  <c r="P58" i="1" s="1"/>
  <c r="J60" i="1"/>
  <c r="AB60" i="1" s="1"/>
  <c r="L60" i="1"/>
  <c r="Z60" i="1"/>
  <c r="AA60" i="1"/>
  <c r="AE60" i="1"/>
  <c r="H60" i="1" s="1"/>
  <c r="AF60" i="1"/>
  <c r="AN60" i="1" s="1"/>
  <c r="J62" i="1"/>
  <c r="AB62" i="1" s="1"/>
  <c r="L62" i="1"/>
  <c r="O62" i="1"/>
  <c r="Z62" i="1"/>
  <c r="AA62" i="1"/>
  <c r="AE62" i="1"/>
  <c r="H62" i="1" s="1"/>
  <c r="I62" i="1" s="1"/>
  <c r="AF62" i="1"/>
  <c r="AN62" i="1" s="1"/>
  <c r="J63" i="1"/>
  <c r="AB63" i="1" s="1"/>
  <c r="L63" i="1"/>
  <c r="O63" i="1"/>
  <c r="Z63" i="1"/>
  <c r="AA63" i="1"/>
  <c r="AE63" i="1"/>
  <c r="H63" i="1" s="1"/>
  <c r="I63" i="1" s="1"/>
  <c r="AF63" i="1"/>
  <c r="AN63" i="1" s="1"/>
  <c r="P64" i="1"/>
  <c r="T64" i="1"/>
  <c r="U64" i="1"/>
  <c r="V64" i="1"/>
  <c r="W64" i="1"/>
  <c r="X64" i="1"/>
  <c r="J65" i="1"/>
  <c r="L65" i="1"/>
  <c r="L64" i="1" s="1"/>
  <c r="O65" i="1"/>
  <c r="Z65" i="1"/>
  <c r="AI64" i="1" s="1"/>
  <c r="AA65" i="1"/>
  <c r="AJ64" i="1" s="1"/>
  <c r="AE65" i="1"/>
  <c r="H65" i="1" s="1"/>
  <c r="AF65" i="1"/>
  <c r="AN65" i="1" s="1"/>
  <c r="AM65" i="1"/>
  <c r="J66" i="1"/>
  <c r="L66" i="1"/>
  <c r="O66" i="1"/>
  <c r="Z66" i="1"/>
  <c r="AA66" i="1"/>
  <c r="AE66" i="1"/>
  <c r="H66" i="1" s="1"/>
  <c r="AF66" i="1"/>
  <c r="AN66" i="1" s="1"/>
  <c r="AM66" i="1"/>
  <c r="J67" i="1"/>
  <c r="L67" i="1"/>
  <c r="O67" i="1"/>
  <c r="Z67" i="1"/>
  <c r="AA67" i="1"/>
  <c r="AE67" i="1"/>
  <c r="H67" i="1" s="1"/>
  <c r="AF67" i="1"/>
  <c r="AN67" i="1" s="1"/>
  <c r="AM67" i="1"/>
  <c r="J68" i="1"/>
  <c r="L68" i="1"/>
  <c r="O68" i="1"/>
  <c r="Z68" i="1"/>
  <c r="AA68" i="1"/>
  <c r="AE68" i="1"/>
  <c r="H68" i="1" s="1"/>
  <c r="AF68" i="1"/>
  <c r="AN68" i="1" s="1"/>
  <c r="AM68" i="1"/>
  <c r="J69" i="1"/>
  <c r="L69" i="1"/>
  <c r="O69" i="1"/>
  <c r="Z69" i="1"/>
  <c r="AA69" i="1"/>
  <c r="AE69" i="1"/>
  <c r="H69" i="1" s="1"/>
  <c r="AF69" i="1"/>
  <c r="AN69" i="1" s="1"/>
  <c r="AM69" i="1"/>
  <c r="J70" i="1"/>
  <c r="L70" i="1"/>
  <c r="O70" i="1"/>
  <c r="Z70" i="1"/>
  <c r="AA70" i="1"/>
  <c r="AE70" i="1"/>
  <c r="H70" i="1" s="1"/>
  <c r="AF70" i="1"/>
  <c r="AN70" i="1" s="1"/>
  <c r="AM70" i="1"/>
  <c r="T71" i="1"/>
  <c r="U71" i="1"/>
  <c r="V71" i="1"/>
  <c r="W71" i="1"/>
  <c r="X71" i="1"/>
  <c r="J72" i="1"/>
  <c r="I72" i="1" s="1"/>
  <c r="L72" i="1"/>
  <c r="Z72" i="1"/>
  <c r="AI71" i="1" s="1"/>
  <c r="AA72" i="1"/>
  <c r="AJ71" i="1" s="1"/>
  <c r="AB72" i="1"/>
  <c r="AK71" i="1" s="1"/>
  <c r="AE72" i="1"/>
  <c r="H72" i="1" s="1"/>
  <c r="AF72" i="1"/>
  <c r="AM72" i="1"/>
  <c r="AN72" i="1"/>
  <c r="J74" i="1"/>
  <c r="L74" i="1"/>
  <c r="Z74" i="1"/>
  <c r="AA74" i="1"/>
  <c r="AB74" i="1"/>
  <c r="AE74" i="1"/>
  <c r="H74" i="1" s="1"/>
  <c r="AF74" i="1"/>
  <c r="AM74" i="1"/>
  <c r="AN74" i="1"/>
  <c r="L75" i="1"/>
  <c r="R75" i="1"/>
  <c r="S75" i="1"/>
  <c r="T75" i="1"/>
  <c r="U75" i="1"/>
  <c r="V75" i="1"/>
  <c r="W75" i="1"/>
  <c r="H76" i="1"/>
  <c r="J76" i="1"/>
  <c r="L76" i="1"/>
  <c r="O76" i="1"/>
  <c r="Z76" i="1"/>
  <c r="AI75" i="1" s="1"/>
  <c r="AA76" i="1"/>
  <c r="AJ75" i="1" s="1"/>
  <c r="AB76" i="1"/>
  <c r="AK75" i="1" s="1"/>
  <c r="AE76" i="1"/>
  <c r="AM76" i="1" s="1"/>
  <c r="AF76" i="1"/>
  <c r="AN76" i="1"/>
  <c r="H78" i="1"/>
  <c r="I78" i="1" s="1"/>
  <c r="J78" i="1"/>
  <c r="L78" i="1"/>
  <c r="O78" i="1"/>
  <c r="Z78" i="1"/>
  <c r="AA78" i="1"/>
  <c r="AB78" i="1"/>
  <c r="AE78" i="1"/>
  <c r="AM78" i="1" s="1"/>
  <c r="AF78" i="1"/>
  <c r="AN78" i="1"/>
  <c r="H80" i="1"/>
  <c r="I80" i="1" s="1"/>
  <c r="J80" i="1"/>
  <c r="L80" i="1"/>
  <c r="O80" i="1"/>
  <c r="Z80" i="1"/>
  <c r="AA80" i="1"/>
  <c r="AB80" i="1"/>
  <c r="AE80" i="1"/>
  <c r="AM80" i="1" s="1"/>
  <c r="AF80" i="1"/>
  <c r="AN80" i="1"/>
  <c r="H82" i="1"/>
  <c r="I82" i="1" s="1"/>
  <c r="J82" i="1"/>
  <c r="L82" i="1"/>
  <c r="O82" i="1"/>
  <c r="Z82" i="1"/>
  <c r="AA82" i="1"/>
  <c r="AB82" i="1"/>
  <c r="AE82" i="1"/>
  <c r="AM82" i="1" s="1"/>
  <c r="AF82" i="1"/>
  <c r="AN82" i="1"/>
  <c r="H84" i="1"/>
  <c r="I84" i="1" s="1"/>
  <c r="J84" i="1"/>
  <c r="L84" i="1"/>
  <c r="O84" i="1"/>
  <c r="Z84" i="1"/>
  <c r="AA84" i="1"/>
  <c r="AB84" i="1"/>
  <c r="AE84" i="1"/>
  <c r="AM84" i="1" s="1"/>
  <c r="AF84" i="1"/>
  <c r="AN84" i="1"/>
  <c r="H86" i="1"/>
  <c r="I86" i="1" s="1"/>
  <c r="J86" i="1"/>
  <c r="L86" i="1"/>
  <c r="O86" i="1"/>
  <c r="Z86" i="1"/>
  <c r="AA86" i="1"/>
  <c r="AB86" i="1"/>
  <c r="AE86" i="1"/>
  <c r="AM86" i="1" s="1"/>
  <c r="AF86" i="1"/>
  <c r="AN86" i="1"/>
  <c r="F11" i="2"/>
  <c r="I11" i="2" s="1"/>
  <c r="F12" i="2"/>
  <c r="I12" i="2"/>
  <c r="F13" i="2"/>
  <c r="I13" i="2" s="1"/>
  <c r="F14" i="2"/>
  <c r="I14" i="2"/>
  <c r="F15" i="2"/>
  <c r="I15" i="2" s="1"/>
  <c r="F16" i="2"/>
  <c r="I16" i="2"/>
  <c r="F17" i="2"/>
  <c r="I17" i="2" s="1"/>
  <c r="F18" i="2"/>
  <c r="I18" i="2"/>
  <c r="F19" i="2"/>
  <c r="I19" i="2" s="1"/>
  <c r="F20" i="2"/>
  <c r="I20" i="2"/>
  <c r="F21" i="2"/>
  <c r="I21" i="2" s="1"/>
  <c r="I58" i="1" l="1"/>
  <c r="U58" i="1" s="1"/>
  <c r="J40" i="1"/>
  <c r="T40" i="1"/>
  <c r="H58" i="1"/>
  <c r="H33" i="1"/>
  <c r="I34" i="1"/>
  <c r="I33" i="1" s="1"/>
  <c r="S33" i="1" s="1"/>
  <c r="P75" i="1"/>
  <c r="I74" i="1"/>
  <c r="O74" i="1" s="1"/>
  <c r="H71" i="1"/>
  <c r="L71" i="1"/>
  <c r="H64" i="1"/>
  <c r="AK58" i="1"/>
  <c r="I46" i="1"/>
  <c r="O46" i="1" s="1"/>
  <c r="P43" i="1" s="1"/>
  <c r="AB46" i="1"/>
  <c r="I45" i="1"/>
  <c r="AB45" i="1"/>
  <c r="I44" i="1"/>
  <c r="I43" i="1" s="1"/>
  <c r="U43" i="1" s="1"/>
  <c r="AB44" i="1"/>
  <c r="AK43" i="1" s="1"/>
  <c r="AI40" i="1"/>
  <c r="P33" i="1"/>
  <c r="C21" i="6" s="1"/>
  <c r="L17" i="1"/>
  <c r="C27" i="6"/>
  <c r="AJ12" i="1"/>
  <c r="C28" i="6"/>
  <c r="F28" i="6" s="1"/>
  <c r="H75" i="1"/>
  <c r="I76" i="1"/>
  <c r="I75" i="1" s="1"/>
  <c r="T43" i="1"/>
  <c r="J43" i="1"/>
  <c r="O72" i="1"/>
  <c r="P71" i="1" s="1"/>
  <c r="I70" i="1"/>
  <c r="AB70" i="1"/>
  <c r="I69" i="1"/>
  <c r="AB69" i="1"/>
  <c r="I65" i="1"/>
  <c r="AB65" i="1"/>
  <c r="L48" i="1"/>
  <c r="I26" i="1"/>
  <c r="I22" i="1"/>
  <c r="H53" i="1"/>
  <c r="I54" i="1"/>
  <c r="I53" i="1" s="1"/>
  <c r="U53" i="1" s="1"/>
  <c r="H17" i="1"/>
  <c r="I13" i="1"/>
  <c r="AB13" i="1"/>
  <c r="I68" i="1"/>
  <c r="AB68" i="1"/>
  <c r="I67" i="1"/>
  <c r="AB67" i="1"/>
  <c r="I66" i="1"/>
  <c r="AB66" i="1"/>
  <c r="I30" i="1"/>
  <c r="I18" i="1"/>
  <c r="I17" i="1" s="1"/>
  <c r="S17" i="1" s="1"/>
  <c r="F23" i="2"/>
  <c r="I49" i="1"/>
  <c r="I48" i="1" s="1"/>
  <c r="I15" i="1"/>
  <c r="AB15" i="1"/>
  <c r="H12" i="1"/>
  <c r="C19" i="6"/>
  <c r="AM63" i="1"/>
  <c r="AM62" i="1"/>
  <c r="AM60" i="1"/>
  <c r="AM59" i="1"/>
  <c r="AM41" i="1"/>
  <c r="AI12" i="1"/>
  <c r="C17" i="6" l="1"/>
  <c r="AB88" i="1"/>
  <c r="C29" i="6"/>
  <c r="F29" i="6" s="1"/>
  <c r="AK12" i="1"/>
  <c r="J53" i="1"/>
  <c r="T53" i="1"/>
  <c r="I28" i="6"/>
  <c r="I29" i="6" s="1"/>
  <c r="I12" i="1"/>
  <c r="S12" i="1" s="1"/>
  <c r="I71" i="1"/>
  <c r="S71" i="1" s="1"/>
  <c r="J75" i="1"/>
  <c r="X75" i="1"/>
  <c r="C20" i="6" s="1"/>
  <c r="R71" i="1"/>
  <c r="J71" i="1"/>
  <c r="R33" i="1"/>
  <c r="J33" i="1"/>
  <c r="U48" i="1"/>
  <c r="J48" i="1"/>
  <c r="R17" i="1"/>
  <c r="J17" i="1"/>
  <c r="AK64" i="1"/>
  <c r="J58" i="1"/>
  <c r="T58" i="1"/>
  <c r="R12" i="1"/>
  <c r="I64" i="1"/>
  <c r="S64" i="1" s="1"/>
  <c r="R64" i="1"/>
  <c r="C14" i="6" l="1"/>
  <c r="C15" i="6"/>
  <c r="C22" i="6" s="1"/>
  <c r="J12" i="1"/>
  <c r="J64" i="1"/>
  <c r="C16" i="6"/>
  <c r="J88" i="1" l="1"/>
</calcChain>
</file>

<file path=xl/sharedStrings.xml><?xml version="1.0" encoding="utf-8"?>
<sst xmlns="http://schemas.openxmlformats.org/spreadsheetml/2006/main" count="812" uniqueCount="292">
  <si>
    <t>Stavební rozpočet</t>
  </si>
  <si>
    <t>Název stavby:</t>
  </si>
  <si>
    <t>Druh stavby:</t>
  </si>
  <si>
    <t>Lokalita:</t>
  </si>
  <si>
    <t>JKSO:</t>
  </si>
  <si>
    <t>Č</t>
  </si>
  <si>
    <t xml:space="preserve">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</si>
  <si>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</si>
  <si>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</si>
  <si>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</si>
  <si>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</si>
  <si>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</si>
  <si>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</si>
  <si>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</si>
  <si>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</si>
  <si>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</si>
  <si>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</si>
  <si>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</si>
  <si>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</si>
  <si>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</si>
  <si>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</si>
  <si>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</si>
  <si>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</si>
  <si>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</si>
  <si>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</si>
  <si>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</si>
  <si>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</si>
  <si>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</si>
  <si>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</si>
  <si>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</si>
  <si>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</si>
  <si>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</si>
  <si>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</si>
  <si>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</si>
  <si>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</si>
  <si>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</si>
  <si>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</si>
  <si>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</si>
  <si>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</si>
  <si>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</si>
  <si>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</si>
  <si>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</si>
  <si>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</si>
  <si>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</si>
  <si>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</si>
  <si>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</si>
  <si>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Poznámka:</t>
  </si>
  <si>
    <t>Objekt</t>
  </si>
  <si>
    <t>Kód</t>
  </si>
  <si>
    <t>310279841R00</t>
  </si>
  <si>
    <t>RTS komentář:</t>
  </si>
  <si>
    <t>62</t>
  </si>
  <si>
    <t>622311130RT1</t>
  </si>
  <si>
    <t>622311132RT1</t>
  </si>
  <si>
    <t>622311131RT1</t>
  </si>
  <si>
    <t>620991121R00</t>
  </si>
  <si>
    <t>622311150RT1</t>
  </si>
  <si>
    <t>622311013R00</t>
  </si>
  <si>
    <t>622412212RT2</t>
  </si>
  <si>
    <t>64</t>
  </si>
  <si>
    <t>648991113RT2</t>
  </si>
  <si>
    <t>641952341R00</t>
  </si>
  <si>
    <t>641952211R00</t>
  </si>
  <si>
    <t>713</t>
  </si>
  <si>
    <t>713133113R00</t>
  </si>
  <si>
    <t>764</t>
  </si>
  <si>
    <t>764410250RT2</t>
  </si>
  <si>
    <t>764410850R00</t>
  </si>
  <si>
    <t>979011111R00</t>
  </si>
  <si>
    <t>766</t>
  </si>
  <si>
    <t>766416131R00</t>
  </si>
  <si>
    <t>766427112R00</t>
  </si>
  <si>
    <t>784</t>
  </si>
  <si>
    <t>784121101R00</t>
  </si>
  <si>
    <t>784125222R00</t>
  </si>
  <si>
    <t>787</t>
  </si>
  <si>
    <t>787100812R00</t>
  </si>
  <si>
    <t>787101822R00</t>
  </si>
  <si>
    <t>787193313RT5</t>
  </si>
  <si>
    <t>94</t>
  </si>
  <si>
    <t>941941042R00</t>
  </si>
  <si>
    <t>941941292R00</t>
  </si>
  <si>
    <t>941941842R00</t>
  </si>
  <si>
    <t>943944121R00</t>
  </si>
  <si>
    <t>943944291R00</t>
  </si>
  <si>
    <t>943944821R00</t>
  </si>
  <si>
    <t>S</t>
  </si>
  <si>
    <t>979083117R00</t>
  </si>
  <si>
    <t>979990109R00</t>
  </si>
  <si>
    <t>13814187</t>
  </si>
  <si>
    <t>59152108</t>
  </si>
  <si>
    <t>61143753.A</t>
  </si>
  <si>
    <t>61143772.A</t>
  </si>
  <si>
    <t>63140541</t>
  </si>
  <si>
    <t>GYMNASIUM ML - VÝMĚNA OKEN TĚLOCVIČNY</t>
  </si>
  <si>
    <t>VÝMĚNA OKEN TĚLOCVIČNY</t>
  </si>
  <si>
    <t>Ruská, Mariánské Lázně</t>
  </si>
  <si>
    <t>Zkrácený popis</t>
  </si>
  <si>
    <t>Rozměry</t>
  </si>
  <si>
    <t>Zdi podpěrné a volné</t>
  </si>
  <si>
    <t>Zazdívka otvorů pl.do 4 m2 tvárnicemi YTONG , tl.150 mm - 6 x 2,9 qm</t>
  </si>
  <si>
    <t>V položce jsou zakalkulovány náklady na pomocné pracovní lešení o výšce podlahy do 1900 mm a pro zatížení do 1,5 kPa.</t>
  </si>
  <si>
    <t>Zazdívka otvorů pl.do 4 m2 tvárnicemi YTONG, tl.150 mm 2 x 1,1 qm</t>
  </si>
  <si>
    <t>Úprava povrchů vnější</t>
  </si>
  <si>
    <t>Zateplovací systém Baumit, fasáda, EPS F tl. 60 mm - vnitřní strana - 6 x zazděné nadsvětlíky 3,8 qm, 2 x okno malé</t>
  </si>
  <si>
    <t>Baumit Pro Položka obsahuje: nanesení lepicího tmelu na izolační desky, nalepení desek, zajištění talířovými hmoždinkami (6 ks/m2), přebroušení desek, natažení stěrky, vtlačení výztužné tkaniny (1,15 m2/m2), přehlazení stěrky, kontaktní nátěr a povrchovou úpravu omítkou. V položce je obsaženo 0,14 m rohových lišt na m2.</t>
  </si>
  <si>
    <t>Zateplovací systém Baumit, fasáda, EPS F tl.100 mm - venkovní - 6 x nadsvětlík, 2 x okno malé</t>
  </si>
  <si>
    <t>Zateplovací systém Baumit, fasáda, EPS F tl. 80 mm - zateplení železobetonových sloupů, 5 x 8,52</t>
  </si>
  <si>
    <t>Baumit Pro Položka obsahuje: nanesení lepicího tmelu na izolační desky, nalepení desek, zajištění talířovými hmoždinkami (6 ks/m2), přebroušení desek, natažení stěrky, vtlačení výztužné tkaniny (1,15 m2/m2), přehlazení stěrky, kontaktní nátěr a povrchovou úpravu omítkou. V položce je obsaženo 0,14 m rohových lišt na m2. Bumit Pro</t>
  </si>
  <si>
    <t>Zateplovací systém Baumit, fasáda, EPS F tl. 80 mm - 12 x meziokenní ocel. sloupek</t>
  </si>
  <si>
    <t>Zakrývání výplní vnějších otvorů z lešení</t>
  </si>
  <si>
    <t>Zakrývání výplní vnějších otvorů s rámy a zárubněmi, zábradlí, předmětů, oplechování apod., která se zřizují ještě před úpravami povrchu, před jejich znečištěním při úpravách povrchu nástřikem plastických (lepivých) maltovin, prováděné z lešení. Položka je určena pro zakrývání jakýmkoliv způsobem.  Množství měrných jednotek se určuje v m2 plochy kótovaných okenních otvorů, v rozměrech předmětů, konstrukcí, oplechování apod. jsou-li zcela obklopeny nástřikem. Zakrývání okrajů nastříkaných ploch a osaěmlých pásů ohraničených oplechováním, obklady, souvislým pásem oken, ochrana dlažby logií pod upravovanou stěnou apod. se určuje v ploše pruhů o šířce nejvýše 400 mm. Odkrytí je v položce započteno.</t>
  </si>
  <si>
    <t>Baumit, povrchová úprava ostění KZS s EPS</t>
  </si>
  <si>
    <t>Položka obsahuje okenní a rohové lišty, výztužnou stěrku, kontaktní nátěr a povrchovou úpravu omítkou. V položce je započteno 6,67 m rohových lišt, 3,33 m lišt s okapničkou, 10 m napojovacích lišt na m2 a síťovina na vyztužení rohů 1,1 m2.</t>
  </si>
  <si>
    <t>Soklová lišta hliník KZS Baumit tl. 120 mm</t>
  </si>
  <si>
    <t>Nátěr stěn vnějších, slož.1-2, BASF, silikátový</t>
  </si>
  <si>
    <t>Penetrace podkladu v jedné vrstvě a nátěr silikátový ve dvou vrstvách. Vhodný pro zateplovací systémy. Bez nákladů na lešení.</t>
  </si>
  <si>
    <t>Výplně otvorů</t>
  </si>
  <si>
    <t>Osazení parapet.desek plast. a lamin. š.nad 20cm</t>
  </si>
  <si>
    <t>Položka je určena pro osazování parapetních desek z plastických a poloplastických hmot na nízkoexpanzní montážní pěnu. Těsnění spáry mezi parapetem a rámem okna transpatentním silikonem. V položce jsou zakalkulovány i náklady na dodávku desek.</t>
  </si>
  <si>
    <t>Osazení rámů okenních - pevná okna - plocha do 4 m2</t>
  </si>
  <si>
    <t>Položka je určena pro osazování rámů okenních dřevěných pro okna s křídly jednoduchými i zdvojenými, bez sdružených dveří nebo se sdruženými dveřmi na jakoukoliv cementovou maltu. V položce jsou zakalkulovány i náklady na kotvení rámů do zdiva. V položce nejsou zakalkulovány náklady na dodávku rámů, které se oceňují ve specifikaci PSV. Ztratné se nestanoví. Rámy ze dřeva tvrdého jednoduché i dvojité leštěné se oceňují položkami - 4211 až -4551.</t>
  </si>
  <si>
    <t>Osazení rámů - otevíravá okna, plocha do 2,5 m2</t>
  </si>
  <si>
    <t>Izolace tepelné</t>
  </si>
  <si>
    <t>Montáž zakládací lišty pro izolaci, beton</t>
  </si>
  <si>
    <t>V položce není zakalkulována dodávka lišty.</t>
  </si>
  <si>
    <t>Konstrukce klempířské</t>
  </si>
  <si>
    <t>Oplechování parapetů včetně rohů Pz, rš 330 mm</t>
  </si>
  <si>
    <t>Demontáž oplechování parapetů,rš od 100 do 330 mm</t>
  </si>
  <si>
    <t>Svislá doprava suti a vybour. hmot</t>
  </si>
  <si>
    <t>Položka je určena pro dopravu suti a vybouraných hmot za prvé podlaží nad nebo pod základním podlažím. Svislá doprava suti ze základního podlaží se neoceňuje. Základním podlažím je zpravidla přízemí.</t>
  </si>
  <si>
    <t>Konstrukce truhlářské</t>
  </si>
  <si>
    <t>Obložení meziokenních sloupků, deskami CETRIS</t>
  </si>
  <si>
    <t>V položce jsou zakalkulovány i náklady na našroubování soklu.V položce nejsou zakalkulovány náklady na montáž podkladového roštu, tato montáž se oceňuje položkou 766 41 7111, náklady na dodání obkladového materiálu, tato dodávka se oceňuje ve specifikaci, ztratné se doporučuje ve výši 4%. Položka není určena pro oceňování obložení sloupů zakřiveného průřezu, toto obložení se oceňuje individuální kalkulací.</t>
  </si>
  <si>
    <t>Podkladový rošt pro obložení sloupků</t>
  </si>
  <si>
    <t>V položce není zakalkulována montáž a dodávka nosných prvků (například konzol, trnů) pro zavěšený rošt. Montáž a dodávka se oceňují individuální kalkulací. Cena položky cíleně snížena 25.10.2004.</t>
  </si>
  <si>
    <t>Malby</t>
  </si>
  <si>
    <t>Penetrace podkladu nátěrem JUB, Akril Emulze, 1 x</t>
  </si>
  <si>
    <t>Základní nátěr pro úpravu podkladů před natíráním disperzními barvami. Ředění vodou obvykle 1 : 1.</t>
  </si>
  <si>
    <t>Malba tekutá Jupol Classic, barva,bez penetrace,2x</t>
  </si>
  <si>
    <t>Vnitřní malířská barva na stěny a stropy, šetrná ke svému okolí, ředitelná vodou a jednoduše aplikovatelná. je vysoce paropropustná a otěruvzdorná. Bez vyspravení sádrou. Styk dvou barev se oceňuje položkou 784 43 - 9001 této části sborníku.</t>
  </si>
  <si>
    <t>Zasklívání</t>
  </si>
  <si>
    <t>Vysklívání stěn - sklo profilové dvojité - 6 oken x 14,6 qm</t>
  </si>
  <si>
    <t>Příplatek za demont. konstrukce s Al-lištami oboustrannými</t>
  </si>
  <si>
    <t>Zaskl.oken - stěn, tmel.na lišty, izol.dvojsklo do 2 m2 - bezpečnostní</t>
  </si>
  <si>
    <t>Lešení a stavební výtahy</t>
  </si>
  <si>
    <t>Montáž lešení leh.řad.s podlahami,š.1,2 m, H 30 m</t>
  </si>
  <si>
    <t>Příplatek za každý měsíc použití lešení k pol.1042</t>
  </si>
  <si>
    <t>Demontáž lešení leh.řad.s podlahami,š.1,2 m,H 30 m</t>
  </si>
  <si>
    <t>Montáž lešení prostorového těžkého, H 20 m, 300 kg - posuvná věž uvnitř tělocvičny</t>
  </si>
  <si>
    <t>Příplatek za každý měsíc použití lešení k pol.4121</t>
  </si>
  <si>
    <t>Demontáž lešení prostorov.těžkého, H 20 m, 300 kg</t>
  </si>
  <si>
    <t>Přesuny sutí</t>
  </si>
  <si>
    <t>Vodorovné přemístění suti na skládku do 6000 m</t>
  </si>
  <si>
    <t>Pro volbu položky je rozhodující dopravní vzdálenost těžiště skládky a půdorysné plochy objektu. V položce jsou zakalkulovány i náklady na naložení suti na dopravní prostředek a složení.</t>
  </si>
  <si>
    <t>Poplatek za skládku suti - skleněné tvárnice</t>
  </si>
  <si>
    <t>Ostatní materiál</t>
  </si>
  <si>
    <t>Plech Pz jakost 10004.2 tl.0,70 mm, povlak 275g/m2</t>
  </si>
  <si>
    <t>1000 x 2000 mm  PLECH POZINKOVANÝ V TAVENINĚ ČSN 42 6333.13, ČSN 42 0115, zn. 10 004.20 DLE ČSN</t>
  </si>
  <si>
    <t>Deska CETRIS (Cemvin) lisovaná 1200x2500x15,0 mm</t>
  </si>
  <si>
    <t>Desky Cemvin jsou vyráběny podle ČSN 12467 lisováním za studena ze směsi cementu, perlitu, buničiny a výztužného vlákna, přirozeně vyzrálé a vysušené. Jsou hygienicky nezávadné, bezazbestové, povrch je hladký, cementově šedý, bez povrchové úpravy. Desky lze dále povrchově upravovat.  Jsou vodovzdorné, nehořlavé, mrazuvzdorné, pevné a snadno opracovatelné.</t>
  </si>
  <si>
    <t>Okno plastové ROPLASTO 1500 x 2200 mm pevné - bezpečnostní sklo</t>
  </si>
  <si>
    <t>Okno plastové ROPLASTO 1250 x 2200 mm pevné - bezpečnostní sklo</t>
  </si>
  <si>
    <t>Okno plastové 2 křídlové ROPLASTO 1250 x 810 O+OS - bezpečnostní sklo</t>
  </si>
  <si>
    <t>Deska izolační minerální Rockmin PLUS tl. 50 mm - obklad - meziokenní sloupky</t>
  </si>
  <si>
    <t>Měkká a lehká deska z kamenné vlny (minerální plsti) pojené organickou pryskyřicí, v celém objemu hydrofobizovaná.  Deska ROCKMIN PLUS je určena pro stavební tepelné a protipožární izolace v oblasti vnějších konstrukcí - šikmých střech, podkroví, vnitřních konstrukcí - stropů, podlah mezi trámy nebo polštáře, dělicích stěn, příček, podhledů a dalších bez mechanického zatížení izolační výplně.  rozměr: 610 x 1000 mm  součinitel tepelné vodivosti 0,037 W/mK objemová hmotnost: 30 kg/m3</t>
  </si>
  <si>
    <t>Doba výstavby:</t>
  </si>
  <si>
    <t>Začátek výstavby:</t>
  </si>
  <si>
    <t>Konec výstavby:</t>
  </si>
  <si>
    <t>Zpracováno dne:</t>
  </si>
  <si>
    <t>M.j.</t>
  </si>
  <si>
    <t>m3</t>
  </si>
  <si>
    <t>m2</t>
  </si>
  <si>
    <t>m</t>
  </si>
  <si>
    <t>kus</t>
  </si>
  <si>
    <t>t</t>
  </si>
  <si>
    <t>T</t>
  </si>
  <si>
    <t>Množství</t>
  </si>
  <si>
    <t>Jednot.</t>
  </si>
  <si>
    <t>cena (Kč)</t>
  </si>
  <si>
    <t>Náklady (Kč)</t>
  </si>
  <si>
    <t>Dodávka</t>
  </si>
  <si>
    <t>Celkem:</t>
  </si>
  <si>
    <t>Objednatel:</t>
  </si>
  <si>
    <t>Projektant:</t>
  </si>
  <si>
    <t>Zhotovitel:</t>
  </si>
  <si>
    <t>Zpracoval:</t>
  </si>
  <si>
    <t>Montáž</t>
  </si>
  <si>
    <t>Celkem</t>
  </si>
  <si>
    <t>Hmotnost (t)</t>
  </si>
  <si>
    <t>Cenová</t>
  </si>
  <si>
    <t>soustava</t>
  </si>
  <si>
    <t>RTS II / 2014</t>
  </si>
  <si>
    <t>0</t>
  </si>
  <si>
    <t>Přesuny</t>
  </si>
  <si>
    <t>Typ skupiny</t>
  </si>
  <si>
    <t>HS</t>
  </si>
  <si>
    <t>PS</t>
  </si>
  <si>
    <t>OM</t>
  </si>
  <si>
    <t>HSV mat</t>
  </si>
  <si>
    <t>HSV prac</t>
  </si>
  <si>
    <t>PSV mat</t>
  </si>
  <si>
    <t>PSV prac</t>
  </si>
  <si>
    <t>Mont mat</t>
  </si>
  <si>
    <t>Mont prac</t>
  </si>
  <si>
    <t>Ostatní mat.</t>
  </si>
  <si>
    <t>31_</t>
  </si>
  <si>
    <t>62_</t>
  </si>
  <si>
    <t>64_</t>
  </si>
  <si>
    <t>713_</t>
  </si>
  <si>
    <t>764_</t>
  </si>
  <si>
    <t>766_</t>
  </si>
  <si>
    <t>784_</t>
  </si>
  <si>
    <t>787_</t>
  </si>
  <si>
    <t>94_</t>
  </si>
  <si>
    <t>S_</t>
  </si>
  <si>
    <t>Z99999_</t>
  </si>
  <si>
    <t>3_</t>
  </si>
  <si>
    <t>6_</t>
  </si>
  <si>
    <t>71_</t>
  </si>
  <si>
    <t>76_</t>
  </si>
  <si>
    <t>78_</t>
  </si>
  <si>
    <t>9_</t>
  </si>
  <si>
    <t>Z_</t>
  </si>
  <si>
    <t>_</t>
  </si>
  <si>
    <t>Stavební rozpočet - rekapitulace</t>
  </si>
  <si>
    <t>Náklady (Kč) - dodávka</t>
  </si>
  <si>
    <t>Náklady (Kč) - Montáž</t>
  </si>
  <si>
    <t>Náklady (Kč) - celkem</t>
  </si>
  <si>
    <t>Celková hmotnost (t)</t>
  </si>
  <si>
    <t>F</t>
  </si>
  <si>
    <t>Výkaz výměr</t>
  </si>
  <si>
    <t>Cenová soustava</t>
  </si>
  <si>
    <t>Harmonogram</t>
  </si>
  <si>
    <t>Nh</t>
  </si>
  <si>
    <t>Zdroje</t>
  </si>
  <si>
    <t>Trvání</t>
  </si>
  <si>
    <t>Začátek</t>
  </si>
  <si>
    <t>Konec</t>
  </si>
  <si>
    <t>Rozpočet (Kč)</t>
  </si>
  <si>
    <t>Čerpání rozpočtu</t>
  </si>
  <si>
    <t>Rozpočtové náklady (Kč)</t>
  </si>
  <si>
    <t>Fakturovaná cena (Kč)</t>
  </si>
  <si>
    <t>Rozdíl v Kč</t>
  </si>
  <si>
    <t>Rozdíl v %</t>
  </si>
  <si>
    <t>Rozpočtové náklady v Kč</t>
  </si>
  <si>
    <t>A</t>
  </si>
  <si>
    <t>HSV</t>
  </si>
  <si>
    <t>PSV</t>
  </si>
  <si>
    <t>"M"</t>
  </si>
  <si>
    <t>Přesun hmot a sutí</t>
  </si>
  <si>
    <t>ZRN celkem</t>
  </si>
  <si>
    <t>Základ 0%</t>
  </si>
  <si>
    <t>Základ 15%</t>
  </si>
  <si>
    <t>Základ 21%</t>
  </si>
  <si>
    <t>Projektant</t>
  </si>
  <si>
    <t>Datum, razítko a podpis</t>
  </si>
  <si>
    <t>Základní rozpočtové náklady</t>
  </si>
  <si>
    <t>Dodávky</t>
  </si>
  <si>
    <t>Krycí list rozpočtu</t>
  </si>
  <si>
    <t>B</t>
  </si>
  <si>
    <t>Práce přesčas</t>
  </si>
  <si>
    <t>Bez pevné podl.</t>
  </si>
  <si>
    <t>Kulturní památka</t>
  </si>
  <si>
    <t>DN celkem</t>
  </si>
  <si>
    <t>DN celkem z obj.</t>
  </si>
  <si>
    <t>DPH 15%</t>
  </si>
  <si>
    <t>DPH 21%</t>
  </si>
  <si>
    <t>Objednatel</t>
  </si>
  <si>
    <t>Doplňkové náklady</t>
  </si>
  <si>
    <t>C</t>
  </si>
  <si>
    <t>Zařízení staveniště</t>
  </si>
  <si>
    <t>Mimostav. doprava</t>
  </si>
  <si>
    <t>Územní vlivy</t>
  </si>
  <si>
    <t>Provozní vlivy</t>
  </si>
  <si>
    <t>Ostatní</t>
  </si>
  <si>
    <t>NUS z rozpočtu</t>
  </si>
  <si>
    <t>NUS celkem</t>
  </si>
  <si>
    <t>NUS celkem z obj.</t>
  </si>
  <si>
    <t>ORN celkem</t>
  </si>
  <si>
    <t>ORN celkem z obj.</t>
  </si>
  <si>
    <t>Celkem bez DPH</t>
  </si>
  <si>
    <t>Celkem včetně DPH</t>
  </si>
  <si>
    <t>Zhotovitel</t>
  </si>
  <si>
    <t>IČ/DIČ:</t>
  </si>
  <si>
    <t>Položek:</t>
  </si>
  <si>
    <t>Datum:</t>
  </si>
  <si>
    <t>Náklady na umístění stavby (NUS)</t>
  </si>
  <si>
    <t>Okno pevně zasklené, s izolačním dvojsklem, způsob otevírání: pevné katalogové číslo : F 150150</t>
  </si>
  <si>
    <t>Okno plastové jednokřídlové ROPLASTO 1250 x 810 O+OS - bezpečnostní sklo</t>
  </si>
  <si>
    <t>Okno s izolačním dvojsklem, způsob otevírání: otevíravé - sklopné  katalogové číslo : 2K 120120</t>
  </si>
  <si>
    <t>Vyplnit cenu položky</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</si>
</sst>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sz val="10"/>
      <color indexed="8"/>
      <name val="Arial"/>
      <charset val="238"/>
    </font>
    <font>
      <sz val="18"/>
      <color indexed="8"/>
      <name val="Arial"/>
      <charset val="238"/>
    </font>
    <font>
      <b/>
      <sz val="10"/>
      <color indexed="8"/>
      <name val="Arial"/>
      <charset val="238"/>
    </font>
    <font>
      <sz val="10"/>
      <color indexed="61"/>
      <name val="Arial"/>
      <charset val="238"/>
    </font>
    <font>
      <sz val="10"/>
      <color indexed="62"/>
      <name val="Arial"/>
      <charset val="238"/>
    </font>
    <font>
      <i/>
      <sz val="8"/>
      <color indexed="8"/>
      <name val="Arial"/>
      <charset val="238"/>
    </font>
    <font>
      <i/>
      <sz val="10"/>
      <color indexed="60"/>
      <name val="Arial"/>
      <charset val="238"/>
    </font>
    <font>
      <b/>
      <sz val="18"/>
      <color indexed="8"/>
      <name val="Arial"/>
      <charset val="238"/>
    </font>
    <font>
      <b/>
      <sz val="20"/>
      <color indexed="8"/>
      <name val="Arial"/>
      <charset val="238"/>
    </font>
    <font>
      <b/>
      <sz val="12"/>
      <color indexed="8"/>
      <name val="Arial"/>
      <charset val="238"/>
    </font>
    <font>
      <sz val="12"/>
      <color indexed="8"/>
      <name val="Arial"/>
      <charset val="238"/>
    </font>
    <font>
      <b/>
      <sz val="11"/>
      <color indexed="8"/>
      <name val="Arial"/>
      <charset val="238"/>
    </font>
    <font>
      <sz val="24"/>
      <color indexed="8"/>
      <name val="Arial"/>
      <charset val="238"/>
    </font>
  </fonts>
  <fills count="5">
    <fill>
      <patternFill patternType="none"/>
    </fill>
    <fill>
      <patternFill patternType="gray125"/>
    </fill>
    <fill>
      <patternFill patternType="solid">
        <fgColor indexed="22"/>
        <bgColor indexed="9"/>
      </patternFill>
    </fill>
    <fill>
      <patternFill patternType="solid">
        <fgColor rgb="FFFFFF00"/>
        <bgColor indexed="64"/>
      </patternFill>
    </fill>
    <fill>
      <patternFill patternType="solid">
        <fgColor rgb="FFFFFF00"/>
        <bgColor indexed="9"/>
      </patternFill>
    </fill>
  </fills>
  <borders count="47">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s>
  <cellStyleXfs count="1">
    <xf numFmtId="0" fontId="0" fillId="0" borderId="0"/>
  </cellStyleXfs>
  <cellXfs count="149">
    <xf numFmtId="0" fontId="1" fillId="0" borderId="0" xfId="0" applyFont="1" applyAlignment="1">
      <alignment vertical="center"/>
    </xf>
    <xf numFmtId="49" fontId="3" fillId="0" borderId="5" xfId="0" applyNumberFormat="1" applyFont="1" applyFill="1" applyBorder="1" applyAlignment="1" applyProtection="1">
      <alignment horizontal="left" vertical="center"/>
    </xf>
    <xf numFmtId="49" fontId="1" fillId="0" borderId="6" xfId="0" applyNumberFormat="1" applyFont="1" applyFill="1" applyBorder="1" applyAlignment="1" applyProtection="1">
      <alignment horizontal="left" vertical="center"/>
    </xf>
    <xf numFmtId="49" fontId="1" fillId="2" borderId="7"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left" vertical="center"/>
    </xf>
    <xf numFmtId="49" fontId="1" fillId="2" borderId="0" xfId="0" applyNumberFormat="1" applyFont="1" applyFill="1" applyBorder="1" applyAlignment="1" applyProtection="1">
      <alignment horizontal="left" vertical="center"/>
    </xf>
    <xf numFmtId="49" fontId="5" fillId="0" borderId="0" xfId="0" applyNumberFormat="1" applyFont="1" applyFill="1" applyBorder="1" applyAlignment="1" applyProtection="1">
      <alignment horizontal="left" vertical="center"/>
    </xf>
    <xf numFmtId="0" fontId="1" fillId="0" borderId="1" xfId="0" applyNumberFormat="1" applyFont="1" applyFill="1" applyBorder="1" applyAlignment="1" applyProtection="1">
      <alignment vertical="center"/>
    </xf>
    <xf numFmtId="0" fontId="1" fillId="0" borderId="8" xfId="0" applyNumberFormat="1" applyFont="1" applyFill="1" applyBorder="1" applyAlignment="1" applyProtection="1">
      <alignment vertical="center"/>
    </xf>
    <xf numFmtId="49" fontId="6" fillId="0" borderId="0" xfId="0" applyNumberFormat="1" applyFont="1" applyFill="1" applyBorder="1" applyAlignment="1" applyProtection="1">
      <alignment horizontal="left" vertical="center"/>
    </xf>
    <xf numFmtId="49" fontId="3" fillId="0" borderId="10" xfId="0" applyNumberFormat="1" applyFont="1" applyFill="1" applyBorder="1" applyAlignment="1" applyProtection="1">
      <alignment horizontal="left" vertical="center"/>
    </xf>
    <xf numFmtId="49" fontId="1" fillId="0" borderId="11" xfId="0" applyNumberFormat="1" applyFont="1" applyFill="1" applyBorder="1" applyAlignment="1" applyProtection="1">
      <alignment horizontal="left" vertical="center"/>
    </xf>
    <xf numFmtId="49" fontId="3" fillId="2" borderId="7" xfId="0" applyNumberFormat="1" applyFont="1" applyFill="1" applyBorder="1" applyAlignment="1" applyProtection="1">
      <alignment horizontal="left" vertical="center"/>
    </xf>
    <xf numFmtId="49" fontId="3" fillId="2" borderId="0" xfId="0" applyNumberFormat="1" applyFont="1" applyFill="1" applyBorder="1" applyAlignment="1" applyProtection="1">
      <alignment horizontal="left" vertical="center"/>
    </xf>
    <xf numFmtId="49" fontId="7" fillId="0" borderId="0" xfId="0" applyNumberFormat="1" applyFont="1" applyFill="1" applyBorder="1" applyAlignment="1" applyProtection="1">
      <alignment horizontal="right" vertical="top"/>
    </xf>
    <xf numFmtId="49" fontId="7" fillId="0" borderId="1" xfId="0" applyNumberFormat="1" applyFont="1" applyFill="1" applyBorder="1" applyAlignment="1" applyProtection="1">
      <alignment horizontal="right" vertical="top"/>
    </xf>
    <xf numFmtId="49" fontId="3" fillId="0" borderId="11" xfId="0" applyNumberFormat="1" applyFont="1" applyFill="1" applyBorder="1" applyAlignment="1" applyProtection="1">
      <alignment horizontal="left" vertical="center"/>
    </xf>
    <xf numFmtId="49" fontId="1" fillId="0" borderId="0" xfId="0" applyNumberFormat="1" applyFont="1" applyFill="1" applyBorder="1" applyAlignment="1" applyProtection="1">
      <alignment horizontal="left" vertical="center"/>
    </xf>
    <xf numFmtId="49" fontId="3" fillId="0" borderId="10" xfId="0" applyNumberFormat="1" applyFont="1" applyFill="1" applyBorder="1" applyAlignment="1" applyProtection="1">
      <alignment horizontal="center" vertical="center"/>
    </xf>
    <xf numFmtId="4" fontId="4" fillId="0" borderId="0" xfId="0" applyNumberFormat="1" applyFont="1" applyFill="1" applyBorder="1" applyAlignment="1" applyProtection="1">
      <alignment horizontal="right" vertical="center"/>
    </xf>
    <xf numFmtId="4" fontId="5" fillId="0" borderId="0" xfId="0" applyNumberFormat="1" applyFont="1" applyFill="1" applyBorder="1" applyAlignment="1" applyProtection="1">
      <alignment horizontal="right" vertical="center"/>
    </xf>
    <xf numFmtId="49" fontId="3" fillId="0" borderId="12" xfId="0" applyNumberFormat="1" applyFont="1" applyFill="1" applyBorder="1" applyAlignment="1" applyProtection="1">
      <alignment horizontal="center" vertical="center"/>
    </xf>
    <xf numFmtId="49" fontId="3" fillId="0" borderId="13" xfId="0" applyNumberFormat="1" applyFont="1" applyFill="1" applyBorder="1" applyAlignment="1" applyProtection="1">
      <alignment horizontal="right" vertical="center"/>
    </xf>
    <xf numFmtId="49" fontId="3" fillId="0" borderId="15" xfId="0" applyNumberFormat="1" applyFont="1" applyFill="1" applyBorder="1" applyAlignment="1" applyProtection="1">
      <alignment horizontal="center" vertical="center"/>
    </xf>
    <xf numFmtId="49" fontId="3" fillId="0" borderId="17" xfId="0" applyNumberFormat="1" applyFont="1" applyFill="1" applyBorder="1" applyAlignment="1" applyProtection="1">
      <alignment horizontal="center" vertical="center"/>
    </xf>
    <xf numFmtId="49" fontId="3" fillId="0" borderId="19" xfId="0" applyNumberFormat="1" applyFont="1" applyFill="1" applyBorder="1" applyAlignment="1" applyProtection="1">
      <alignment horizontal="center" vertical="center"/>
    </xf>
    <xf numFmtId="49" fontId="3" fillId="2" borderId="7" xfId="0" applyNumberFormat="1" applyFont="1" applyFill="1" applyBorder="1" applyAlignment="1" applyProtection="1">
      <alignment horizontal="right" vertical="center"/>
    </xf>
    <xf numFmtId="49" fontId="3" fillId="2" borderId="0" xfId="0" applyNumberFormat="1" applyFont="1" applyFill="1" applyBorder="1" applyAlignment="1" applyProtection="1">
      <alignment horizontal="right" vertical="center"/>
    </xf>
    <xf numFmtId="49" fontId="3" fillId="0" borderId="23" xfId="0" applyNumberFormat="1" applyFont="1" applyFill="1" applyBorder="1" applyAlignment="1" applyProtection="1">
      <alignment horizontal="center" vertical="center"/>
    </xf>
    <xf numFmtId="49" fontId="3" fillId="0" borderId="24"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right" vertical="center"/>
    </xf>
    <xf numFmtId="49" fontId="5" fillId="0" borderId="0" xfId="0" applyNumberFormat="1" applyFont="1" applyFill="1" applyBorder="1" applyAlignment="1" applyProtection="1">
      <alignment horizontal="right" vertical="center"/>
    </xf>
    <xf numFmtId="0" fontId="1" fillId="0" borderId="3" xfId="0" applyNumberFormat="1" applyFont="1" applyFill="1" applyBorder="1" applyAlignment="1" applyProtection="1">
      <alignment vertical="center"/>
    </xf>
    <xf numFmtId="0" fontId="1" fillId="0" borderId="25" xfId="0" applyNumberFormat="1" applyFont="1" applyFill="1" applyBorder="1" applyAlignment="1" applyProtection="1">
      <alignment vertical="center"/>
    </xf>
    <xf numFmtId="4" fontId="1" fillId="0" borderId="0" xfId="0" applyNumberFormat="1" applyFont="1" applyFill="1" applyBorder="1" applyAlignment="1" applyProtection="1">
      <alignment horizontal="right" vertical="center"/>
    </xf>
    <xf numFmtId="49" fontId="1" fillId="0" borderId="0" xfId="0" applyNumberFormat="1" applyFont="1" applyFill="1" applyBorder="1" applyAlignment="1" applyProtection="1">
      <alignment horizontal="right" vertical="center"/>
    </xf>
    <xf numFmtId="4" fontId="3" fillId="2" borderId="7" xfId="0" applyNumberFormat="1" applyFont="1" applyFill="1" applyBorder="1" applyAlignment="1" applyProtection="1">
      <alignment horizontal="right" vertical="center"/>
    </xf>
    <xf numFmtId="4" fontId="3" fillId="2" borderId="0" xfId="0" applyNumberFormat="1" applyFont="1" applyFill="1" applyBorder="1" applyAlignment="1" applyProtection="1">
      <alignment horizontal="right" vertical="center"/>
    </xf>
    <xf numFmtId="4" fontId="3" fillId="0" borderId="8" xfId="0" applyNumberFormat="1" applyFont="1" applyFill="1" applyBorder="1" applyAlignment="1" applyProtection="1">
      <alignment horizontal="right" vertical="center"/>
    </xf>
    <xf numFmtId="4" fontId="3" fillId="0" borderId="0" xfId="0" applyNumberFormat="1" applyFont="1" applyFill="1" applyBorder="1" applyAlignment="1" applyProtection="1">
      <alignment horizontal="right" vertical="center"/>
    </xf>
    <xf numFmtId="49" fontId="3" fillId="0" borderId="26" xfId="0" applyNumberFormat="1" applyFont="1" applyFill="1" applyBorder="1" applyAlignment="1" applyProtection="1">
      <alignment horizontal="left" vertical="center"/>
    </xf>
    <xf numFmtId="49" fontId="1" fillId="0" borderId="7" xfId="0" applyNumberFormat="1" applyFont="1" applyFill="1" applyBorder="1" applyAlignment="1" applyProtection="1">
      <alignment horizontal="left" vertical="center"/>
    </xf>
    <xf numFmtId="49" fontId="3" fillId="0" borderId="27" xfId="0" applyNumberFormat="1" applyFont="1" applyFill="1" applyBorder="1" applyAlignment="1" applyProtection="1">
      <alignment horizontal="left" vertical="center"/>
    </xf>
    <xf numFmtId="49" fontId="3" fillId="0" borderId="28" xfId="0" applyNumberFormat="1" applyFont="1" applyFill="1" applyBorder="1" applyAlignment="1" applyProtection="1">
      <alignment horizontal="left" vertical="center"/>
    </xf>
    <xf numFmtId="49" fontId="3" fillId="0" borderId="28"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vertical="center"/>
    </xf>
    <xf numFmtId="49" fontId="3" fillId="0" borderId="0" xfId="0" applyNumberFormat="1" applyFont="1" applyFill="1" applyBorder="1" applyAlignment="1" applyProtection="1">
      <alignment horizontal="left" vertical="center"/>
    </xf>
    <xf numFmtId="49" fontId="3" fillId="0" borderId="26" xfId="0" applyNumberFormat="1" applyFont="1" applyFill="1" applyBorder="1" applyAlignment="1" applyProtection="1">
      <alignment horizontal="center" vertical="center"/>
    </xf>
    <xf numFmtId="4" fontId="1" fillId="0" borderId="7" xfId="0" applyNumberFormat="1" applyFont="1" applyFill="1" applyBorder="1" applyAlignment="1" applyProtection="1">
      <alignment horizontal="right" vertical="center"/>
    </xf>
    <xf numFmtId="49" fontId="3" fillId="0" borderId="28" xfId="0" applyNumberFormat="1" applyFont="1" applyFill="1" applyBorder="1" applyAlignment="1" applyProtection="1">
      <alignment horizontal="right" vertical="center"/>
    </xf>
    <xf numFmtId="49" fontId="3" fillId="0" borderId="26" xfId="0" applyNumberFormat="1" applyFont="1" applyFill="1" applyBorder="1" applyAlignment="1" applyProtection="1">
      <alignment horizontal="right" vertical="center"/>
    </xf>
    <xf numFmtId="49" fontId="3" fillId="0" borderId="29" xfId="0" applyNumberFormat="1" applyFont="1" applyFill="1" applyBorder="1" applyAlignment="1" applyProtection="1">
      <alignment horizontal="left" vertical="center"/>
    </xf>
    <xf numFmtId="49" fontId="9" fillId="2" borderId="34" xfId="0" applyNumberFormat="1" applyFont="1" applyFill="1" applyBorder="1" applyAlignment="1" applyProtection="1">
      <alignment horizontal="center" vertical="center"/>
    </xf>
    <xf numFmtId="49" fontId="10" fillId="0" borderId="35" xfId="0" applyNumberFormat="1" applyFont="1" applyFill="1" applyBorder="1" applyAlignment="1" applyProtection="1">
      <alignment horizontal="left" vertical="center"/>
    </xf>
    <xf numFmtId="49" fontId="10" fillId="0" borderId="36" xfId="0" applyNumberFormat="1" applyFont="1" applyFill="1" applyBorder="1" applyAlignment="1" applyProtection="1">
      <alignment horizontal="left" vertical="center"/>
    </xf>
    <xf numFmtId="0" fontId="1" fillId="0" borderId="38" xfId="0" applyNumberFormat="1" applyFont="1" applyFill="1" applyBorder="1" applyAlignment="1" applyProtection="1">
      <alignment vertical="center"/>
    </xf>
    <xf numFmtId="49" fontId="6" fillId="0" borderId="7" xfId="0" applyNumberFormat="1" applyFont="1" applyFill="1" applyBorder="1" applyAlignment="1" applyProtection="1">
      <alignment horizontal="left" vertical="center"/>
    </xf>
    <xf numFmtId="49" fontId="11" fillId="0" borderId="34" xfId="0" applyNumberFormat="1" applyFont="1" applyFill="1" applyBorder="1" applyAlignment="1" applyProtection="1">
      <alignment horizontal="left" vertical="center"/>
    </xf>
    <xf numFmtId="0" fontId="1" fillId="0" borderId="20" xfId="0" applyNumberFormat="1" applyFont="1" applyFill="1" applyBorder="1" applyAlignment="1" applyProtection="1">
      <alignment vertical="center"/>
    </xf>
    <xf numFmtId="0" fontId="1" fillId="0" borderId="32" xfId="0" applyNumberFormat="1" applyFont="1" applyFill="1" applyBorder="1" applyAlignment="1" applyProtection="1">
      <alignment vertical="center"/>
    </xf>
    <xf numFmtId="4" fontId="11" fillId="0" borderId="34" xfId="0" applyNumberFormat="1" applyFont="1" applyFill="1" applyBorder="1" applyAlignment="1" applyProtection="1">
      <alignment horizontal="right" vertical="center"/>
    </xf>
    <xf numFmtId="49" fontId="11" fillId="0" borderId="34" xfId="0" applyNumberFormat="1" applyFont="1" applyFill="1" applyBorder="1" applyAlignment="1" applyProtection="1">
      <alignment horizontal="right" vertical="center"/>
    </xf>
    <xf numFmtId="4" fontId="11" fillId="0" borderId="17" xfId="0" applyNumberFormat="1" applyFont="1" applyFill="1" applyBorder="1" applyAlignment="1" applyProtection="1">
      <alignment horizontal="right" vertical="center"/>
    </xf>
    <xf numFmtId="0" fontId="1" fillId="0" borderId="45" xfId="0" applyNumberFormat="1" applyFont="1" applyFill="1" applyBorder="1" applyAlignment="1" applyProtection="1">
      <alignment vertical="center"/>
    </xf>
    <xf numFmtId="0" fontId="1" fillId="0" borderId="21" xfId="0" applyNumberFormat="1" applyFont="1" applyFill="1" applyBorder="1" applyAlignment="1" applyProtection="1">
      <alignment vertical="center"/>
    </xf>
    <xf numFmtId="0" fontId="1" fillId="0" borderId="37" xfId="0" applyNumberFormat="1" applyFont="1" applyFill="1" applyBorder="1" applyAlignment="1" applyProtection="1">
      <alignment vertical="center"/>
    </xf>
    <xf numFmtId="4" fontId="10" fillId="2" borderId="41" xfId="0" applyNumberFormat="1" applyFont="1" applyFill="1" applyBorder="1" applyAlignment="1" applyProtection="1">
      <alignment horizontal="right" vertical="center"/>
    </xf>
    <xf numFmtId="0" fontId="1" fillId="0" borderId="1" xfId="0" applyNumberFormat="1" applyFont="1" applyFill="1" applyBorder="1" applyAlignment="1" applyProtection="1"/>
    <xf numFmtId="4" fontId="4" fillId="3" borderId="0" xfId="0" applyNumberFormat="1" applyFont="1" applyFill="1" applyBorder="1" applyAlignment="1" applyProtection="1">
      <alignment horizontal="right" vertical="center"/>
    </xf>
    <xf numFmtId="4" fontId="5" fillId="3" borderId="0" xfId="0" applyNumberFormat="1" applyFont="1" applyFill="1" applyBorder="1" applyAlignment="1" applyProtection="1">
      <alignment horizontal="right" vertical="center"/>
    </xf>
    <xf numFmtId="0" fontId="1" fillId="3" borderId="0" xfId="0" applyFont="1" applyFill="1" applyAlignment="1">
      <alignment vertical="center"/>
    </xf>
    <xf numFmtId="4" fontId="11" fillId="3" borderId="34" xfId="0" applyNumberFormat="1" applyFont="1" applyFill="1" applyBorder="1" applyAlignment="1" applyProtection="1">
      <alignment horizontal="right" vertical="center"/>
    </xf>
    <xf numFmtId="4" fontId="10" fillId="4" borderId="41"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left" vertical="top" wrapText="1"/>
    </xf>
    <xf numFmtId="0" fontId="7" fillId="0" borderId="0" xfId="0" applyNumberFormat="1" applyFont="1" applyFill="1" applyBorder="1" applyAlignment="1" applyProtection="1">
      <alignment horizontal="left" vertical="top"/>
    </xf>
    <xf numFmtId="0" fontId="7" fillId="0" borderId="1" xfId="0" applyNumberFormat="1" applyFont="1" applyFill="1" applyBorder="1" applyAlignment="1" applyProtection="1">
      <alignment horizontal="left" vertical="top" wrapText="1"/>
    </xf>
    <xf numFmtId="0" fontId="7" fillId="0" borderId="1" xfId="0" applyNumberFormat="1" applyFont="1" applyFill="1" applyBorder="1" applyAlignment="1" applyProtection="1">
      <alignment horizontal="left" vertical="top"/>
    </xf>
    <xf numFmtId="49" fontId="3" fillId="0" borderId="8" xfId="0" applyNumberFormat="1" applyFont="1" applyFill="1" applyBorder="1" applyAlignment="1" applyProtection="1">
      <alignment horizontal="left" vertical="center"/>
    </xf>
    <xf numFmtId="0" fontId="3" fillId="0" borderId="8"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xf>
    <xf numFmtId="49" fontId="3"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left" vertical="center"/>
    </xf>
    <xf numFmtId="49" fontId="3" fillId="0" borderId="14" xfId="0" applyNumberFormat="1" applyFont="1" applyFill="1" applyBorder="1" applyAlignment="1" applyProtection="1">
      <alignment horizontal="center" vertical="center"/>
    </xf>
    <xf numFmtId="0" fontId="3" fillId="0" borderId="16" xfId="0" applyNumberFormat="1" applyFont="1" applyFill="1" applyBorder="1" applyAlignment="1" applyProtection="1">
      <alignment horizontal="center" vertical="center"/>
    </xf>
    <xf numFmtId="0" fontId="3" fillId="0" borderId="18" xfId="0" applyNumberFormat="1" applyFont="1" applyFill="1" applyBorder="1" applyAlignment="1" applyProtection="1">
      <alignment horizontal="center" vertical="center"/>
    </xf>
    <xf numFmtId="49" fontId="3" fillId="2" borderId="7" xfId="0" applyNumberFormat="1" applyFont="1" applyFill="1" applyBorder="1" applyAlignment="1" applyProtection="1">
      <alignment horizontal="left" vertical="center"/>
    </xf>
    <xf numFmtId="0" fontId="3" fillId="2" borderId="7" xfId="0" applyNumberFormat="1" applyFont="1" applyFill="1" applyBorder="1" applyAlignment="1" applyProtection="1">
      <alignment horizontal="left" vertical="center"/>
    </xf>
    <xf numFmtId="0" fontId="1" fillId="0" borderId="21" xfId="0" applyNumberFormat="1" applyFont="1" applyFill="1" applyBorder="1" applyAlignment="1" applyProtection="1">
      <alignment horizontal="left" vertical="center"/>
    </xf>
    <xf numFmtId="0" fontId="1" fillId="0" borderId="9" xfId="0" applyNumberFormat="1" applyFont="1" applyFill="1" applyBorder="1" applyAlignment="1" applyProtection="1">
      <alignment horizontal="left" vertical="center"/>
    </xf>
    <xf numFmtId="0" fontId="1" fillId="0" borderId="22" xfId="0" applyNumberFormat="1" applyFont="1" applyFill="1" applyBorder="1" applyAlignment="1" applyProtection="1">
      <alignment horizontal="left" vertical="center"/>
    </xf>
    <xf numFmtId="0" fontId="1" fillId="0" borderId="3" xfId="0" applyNumberFormat="1" applyFont="1" applyFill="1" applyBorder="1" applyAlignment="1" applyProtection="1">
      <alignment horizontal="left" vertical="center" wrapText="1"/>
    </xf>
    <xf numFmtId="0" fontId="1" fillId="0" borderId="3" xfId="0" applyNumberFormat="1" applyFont="1" applyFill="1" applyBorder="1" applyAlignment="1" applyProtection="1">
      <alignment horizontal="left" vertical="center"/>
    </xf>
    <xf numFmtId="49" fontId="1" fillId="0" borderId="0" xfId="0" applyNumberFormat="1" applyFont="1" applyFill="1" applyBorder="1" applyAlignment="1" applyProtection="1">
      <alignment horizontal="left" vertical="center"/>
    </xf>
    <xf numFmtId="0" fontId="1" fillId="0" borderId="4" xfId="0" applyNumberFormat="1" applyFont="1" applyFill="1" applyBorder="1" applyAlignment="1" applyProtection="1">
      <alignment horizontal="left" vertical="center"/>
    </xf>
    <xf numFmtId="14" fontId="1" fillId="0" borderId="0"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horizontal="center"/>
    </xf>
    <xf numFmtId="0" fontId="2" fillId="0" borderId="1"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left" vertical="center" wrapText="1"/>
    </xf>
    <xf numFmtId="0" fontId="1" fillId="0" borderId="8" xfId="0" applyNumberFormat="1" applyFont="1" applyFill="1" applyBorder="1" applyAlignment="1" applyProtection="1">
      <alignment horizontal="left" vertical="center"/>
    </xf>
    <xf numFmtId="0" fontId="3" fillId="0" borderId="8"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center"/>
    </xf>
    <xf numFmtId="49" fontId="1" fillId="0" borderId="8" xfId="0" applyNumberFormat="1" applyFont="1" applyFill="1" applyBorder="1" applyAlignment="1" applyProtection="1">
      <alignment horizontal="left" vertical="center"/>
    </xf>
    <xf numFmtId="0" fontId="1" fillId="0" borderId="8" xfId="0" applyNumberFormat="1" applyFont="1" applyFill="1" applyBorder="1" applyAlignment="1" applyProtection="1">
      <alignment horizontal="left" vertical="center" wrapText="1"/>
    </xf>
    <xf numFmtId="0" fontId="1" fillId="0" borderId="20" xfId="0" applyNumberFormat="1" applyFont="1" applyFill="1" applyBorder="1" applyAlignment="1" applyProtection="1">
      <alignment horizontal="left" vertical="center"/>
    </xf>
    <xf numFmtId="49" fontId="5"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left" vertical="center"/>
    </xf>
    <xf numFmtId="49" fontId="3" fillId="0" borderId="30" xfId="0" applyNumberFormat="1" applyFont="1" applyFill="1" applyBorder="1" applyAlignment="1" applyProtection="1">
      <alignment horizontal="left" vertical="center"/>
    </xf>
    <xf numFmtId="0" fontId="3" fillId="0" borderId="31" xfId="0" applyNumberFormat="1" applyFont="1" applyFill="1" applyBorder="1" applyAlignment="1" applyProtection="1">
      <alignment horizontal="left" vertical="center"/>
    </xf>
    <xf numFmtId="49" fontId="11" fillId="0" borderId="25"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left" vertical="center"/>
    </xf>
    <xf numFmtId="0" fontId="11" fillId="0" borderId="43" xfId="0" applyNumberFormat="1" applyFont="1" applyFill="1" applyBorder="1" applyAlignment="1" applyProtection="1">
      <alignment horizontal="left" vertical="center"/>
    </xf>
    <xf numFmtId="49" fontId="11" fillId="3" borderId="25" xfId="0" applyNumberFormat="1" applyFont="1" applyFill="1" applyBorder="1" applyAlignment="1" applyProtection="1">
      <alignment horizontal="left" vertical="center"/>
    </xf>
    <xf numFmtId="0" fontId="11" fillId="3" borderId="0" xfId="0" applyNumberFormat="1" applyFont="1" applyFill="1" applyBorder="1" applyAlignment="1" applyProtection="1">
      <alignment horizontal="left" vertical="center"/>
    </xf>
    <xf numFmtId="0" fontId="11" fillId="3" borderId="43" xfId="0" applyNumberFormat="1" applyFont="1" applyFill="1" applyBorder="1" applyAlignment="1" applyProtection="1">
      <alignment horizontal="left" vertical="center"/>
    </xf>
    <xf numFmtId="49" fontId="11" fillId="0" borderId="40" xfId="0" applyNumberFormat="1" applyFont="1" applyFill="1" applyBorder="1" applyAlignment="1" applyProtection="1">
      <alignment horizontal="left" vertical="center"/>
    </xf>
    <xf numFmtId="0" fontId="11" fillId="0" borderId="9" xfId="0" applyNumberFormat="1" applyFont="1" applyFill="1" applyBorder="1" applyAlignment="1" applyProtection="1">
      <alignment horizontal="left" vertical="center"/>
    </xf>
    <xf numFmtId="0" fontId="11" fillId="0" borderId="44" xfId="0" applyNumberFormat="1" applyFont="1" applyFill="1" applyBorder="1" applyAlignment="1" applyProtection="1">
      <alignment horizontal="left" vertical="center"/>
    </xf>
    <xf numFmtId="49" fontId="11" fillId="3" borderId="40" xfId="0" applyNumberFormat="1" applyFont="1" applyFill="1" applyBorder="1" applyAlignment="1" applyProtection="1">
      <alignment horizontal="left" vertical="center"/>
    </xf>
    <xf numFmtId="0" fontId="11" fillId="3" borderId="9" xfId="0" applyNumberFormat="1" applyFont="1" applyFill="1" applyBorder="1" applyAlignment="1" applyProtection="1">
      <alignment horizontal="left" vertical="center"/>
    </xf>
    <xf numFmtId="0" fontId="11" fillId="3" borderId="44" xfId="0" applyNumberFormat="1" applyFont="1" applyFill="1" applyBorder="1" applyAlignment="1" applyProtection="1">
      <alignment horizontal="left" vertical="center"/>
    </xf>
    <xf numFmtId="49" fontId="10" fillId="2" borderId="37" xfId="0" applyNumberFormat="1" applyFont="1" applyFill="1" applyBorder="1" applyAlignment="1" applyProtection="1">
      <alignment horizontal="left" vertical="center"/>
    </xf>
    <xf numFmtId="0" fontId="10" fillId="2" borderId="33" xfId="0" applyNumberFormat="1" applyFont="1" applyFill="1" applyBorder="1" applyAlignment="1" applyProtection="1">
      <alignment horizontal="left" vertical="center"/>
    </xf>
    <xf numFmtId="49" fontId="11" fillId="0" borderId="39" xfId="0" applyNumberFormat="1" applyFont="1" applyFill="1" applyBorder="1" applyAlignment="1" applyProtection="1">
      <alignment horizontal="left" vertical="center"/>
    </xf>
    <xf numFmtId="0" fontId="11" fillId="0" borderId="7" xfId="0" applyNumberFormat="1" applyFont="1" applyFill="1" applyBorder="1" applyAlignment="1" applyProtection="1">
      <alignment horizontal="left" vertical="center"/>
    </xf>
    <xf numFmtId="0" fontId="11" fillId="0" borderId="42" xfId="0" applyNumberFormat="1" applyFont="1" applyFill="1" applyBorder="1" applyAlignment="1" applyProtection="1">
      <alignment horizontal="left" vertical="center"/>
    </xf>
    <xf numFmtId="49" fontId="11" fillId="3" borderId="39" xfId="0" applyNumberFormat="1" applyFont="1" applyFill="1" applyBorder="1" applyAlignment="1" applyProtection="1">
      <alignment horizontal="left" vertical="center"/>
    </xf>
    <xf numFmtId="0" fontId="11" fillId="3" borderId="7" xfId="0" applyNumberFormat="1" applyFont="1" applyFill="1" applyBorder="1" applyAlignment="1" applyProtection="1">
      <alignment horizontal="left" vertical="center"/>
    </xf>
    <xf numFmtId="0" fontId="11" fillId="3" borderId="42" xfId="0" applyNumberFormat="1" applyFont="1" applyFill="1" applyBorder="1" applyAlignment="1" applyProtection="1">
      <alignment horizontal="left" vertical="center"/>
    </xf>
    <xf numFmtId="49" fontId="10" fillId="0" borderId="37" xfId="0" applyNumberFormat="1" applyFont="1" applyFill="1" applyBorder="1" applyAlignment="1" applyProtection="1">
      <alignment horizontal="left" vertical="center"/>
    </xf>
    <xf numFmtId="0" fontId="10" fillId="0" borderId="41" xfId="0" applyNumberFormat="1" applyFont="1" applyFill="1" applyBorder="1" applyAlignment="1" applyProtection="1">
      <alignment horizontal="left" vertical="center"/>
    </xf>
    <xf numFmtId="49" fontId="11" fillId="0" borderId="37" xfId="0" applyNumberFormat="1" applyFont="1" applyFill="1" applyBorder="1" applyAlignment="1" applyProtection="1">
      <alignment horizontal="left" vertical="center"/>
    </xf>
    <xf numFmtId="0" fontId="11" fillId="0" borderId="41" xfId="0" applyNumberFormat="1" applyFont="1" applyFill="1" applyBorder="1" applyAlignment="1" applyProtection="1">
      <alignment horizontal="left" vertical="center"/>
    </xf>
    <xf numFmtId="49" fontId="8" fillId="0" borderId="33" xfId="0" applyNumberFormat="1" applyFont="1" applyFill="1" applyBorder="1" applyAlignment="1" applyProtection="1">
      <alignment horizontal="center" vertical="center"/>
    </xf>
    <xf numFmtId="0" fontId="8" fillId="0" borderId="33" xfId="0" applyNumberFormat="1" applyFont="1" applyFill="1" applyBorder="1" applyAlignment="1" applyProtection="1">
      <alignment horizontal="center" vertical="center"/>
    </xf>
    <xf numFmtId="49" fontId="12" fillId="0" borderId="37" xfId="0" applyNumberFormat="1" applyFont="1" applyFill="1" applyBorder="1" applyAlignment="1" applyProtection="1">
      <alignment horizontal="left" vertical="center"/>
    </xf>
    <xf numFmtId="0" fontId="12" fillId="0" borderId="41" xfId="0" applyNumberFormat="1" applyFont="1" applyFill="1" applyBorder="1" applyAlignment="1" applyProtection="1">
      <alignment horizontal="left" vertical="center"/>
    </xf>
    <xf numFmtId="14" fontId="1" fillId="0" borderId="21" xfId="0" applyNumberFormat="1" applyFont="1" applyFill="1" applyBorder="1" applyAlignment="1" applyProtection="1">
      <alignment horizontal="left" vertical="center"/>
    </xf>
    <xf numFmtId="0" fontId="1" fillId="0" borderId="46" xfId="0" applyNumberFormat="1" applyFont="1" applyFill="1" applyBorder="1" applyAlignment="1" applyProtection="1">
      <alignment horizontal="left" vertical="center"/>
    </xf>
    <xf numFmtId="49" fontId="1" fillId="0" borderId="21" xfId="0" applyNumberFormat="1" applyFont="1" applyFill="1" applyBorder="1" applyAlignment="1" applyProtection="1">
      <alignment horizontal="left" vertical="center"/>
    </xf>
    <xf numFmtId="0" fontId="1" fillId="0" borderId="32" xfId="0" applyNumberFormat="1" applyFont="1" applyFill="1" applyBorder="1" applyAlignment="1" applyProtection="1">
      <alignment horizontal="left" vertical="center"/>
    </xf>
    <xf numFmtId="0" fontId="1" fillId="0" borderId="1" xfId="0" applyNumberFormat="1" applyFont="1" applyFill="1" applyBorder="1" applyAlignment="1" applyProtection="1">
      <alignment horizontal="left" vertical="center"/>
    </xf>
    <xf numFmtId="0" fontId="1" fillId="3" borderId="0" xfId="0" applyNumberFormat="1" applyFont="1" applyFill="1" applyBorder="1" applyAlignment="1" applyProtection="1">
      <alignment horizontal="left" vertical="center" wrapText="1"/>
    </xf>
    <xf numFmtId="0" fontId="1" fillId="3" borderId="0" xfId="0" applyNumberFormat="1" applyFont="1" applyFill="1" applyBorder="1" applyAlignment="1" applyProtection="1">
      <alignment horizontal="left" vertical="center"/>
    </xf>
    <xf numFmtId="0" fontId="13"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xf>
    <xf numFmtId="49" fontId="1" fillId="0" borderId="20" xfId="0" applyNumberFormat="1" applyFont="1" applyFill="1" applyBorder="1" applyAlignment="1" applyProtection="1">
      <alignment horizontal="left" vertical="center"/>
    </xf>
  </cellXfs>
  <cellStyles count="1">
    <cellStyle name="Normální"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000000"/>
      <rgbColor rgb="00000000"/>
      <rgbColor rgb="00000000"/>
      <rgbColor rgb="00000000"/>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228600</xdr:colOff>
      <xdr:row>0</xdr:row>
      <xdr:rowOff>885825</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33450" cy="8858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866775</xdr:colOff>
      <xdr:row>0</xdr:row>
      <xdr:rowOff>885825</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66775" cy="8858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285750</xdr:colOff>
      <xdr:row>0</xdr:row>
      <xdr:rowOff>885825</xdr:rowOff>
    </xdr:to>
    <xdr:pic>
      <xdr:nvPicPr>
        <xdr:cNvPr id="30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95350" cy="8858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866775</xdr:colOff>
      <xdr:row>0</xdr:row>
      <xdr:rowOff>885825</xdr:rowOff>
    </xdr:to>
    <xdr:pic>
      <xdr:nvPicPr>
        <xdr:cNvPr id="409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66775" cy="88582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866775</xdr:colOff>
      <xdr:row>0</xdr:row>
      <xdr:rowOff>885825</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66775" cy="88582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285750</xdr:colOff>
      <xdr:row>0</xdr:row>
      <xdr:rowOff>885825</xdr:rowOff>
    </xdr:to>
    <xdr:pic>
      <xdr:nvPicPr>
        <xdr:cNvPr id="614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95350" cy="885825"/>
        </a:xfrm>
        <a:prstGeom prst="rect">
          <a:avLst/>
        </a:prstGeom>
        <a:noFill/>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00"/>
  <sheetViews>
    <sheetView tabSelected="1" topLeftCell="B49" workbookViewId="0">
      <selection activeCell="H101" sqref="H101"/>
    </sheetView>
  </sheetViews>
  <sheetFormatPr defaultColWidth="11.5703125" defaultRowHeight="12.75" x14ac:dyDescent="0.2"/>
  <cols>
    <col min="1" max="1" width="3.7109375" customWidth="1"/>
    <col min="2" max="2" width="6.85546875" customWidth="1"/>
    <col min="3" max="3" width="13.28515625" customWidth="1"/>
    <col min="4" max="4" width="97.85546875" customWidth="1"/>
    <col min="5" max="5" width="4.28515625" customWidth="1"/>
    <col min="6" max="6" width="12.85546875" customWidth="1"/>
    <col min="7" max="7" width="12" customWidth="1"/>
    <col min="8" max="10" width="14.28515625" customWidth="1"/>
    <col min="11" max="13" width="11.7109375" customWidth="1"/>
    <col min="14" max="14" width="0" hidden="1" customWidth="1"/>
    <col min="15" max="47" width="12.140625" hidden="1" customWidth="1"/>
  </cols>
  <sheetData>
    <row r="1" spans="1:43" ht="72.95" customHeight="1" x14ac:dyDescent="0.35">
      <c r="A1" s="96" t="s">
        <v>0</v>
      </c>
      <c r="B1" s="97"/>
      <c r="C1" s="97"/>
      <c r="D1" s="97"/>
      <c r="E1" s="97"/>
      <c r="F1" s="97"/>
      <c r="G1" s="97"/>
      <c r="H1" s="97"/>
      <c r="I1" s="97"/>
      <c r="J1" s="97"/>
      <c r="K1" s="97"/>
      <c r="L1" s="97"/>
      <c r="M1" s="97"/>
    </row>
    <row r="2" spans="1:43" x14ac:dyDescent="0.2">
      <c r="A2" s="98" t="s">
        <v>1</v>
      </c>
      <c r="B2" s="99"/>
      <c r="C2" s="99"/>
      <c r="D2" s="100" t="s">
        <v>94</v>
      </c>
      <c r="E2" s="102" t="s">
        <v>166</v>
      </c>
      <c r="F2" s="99"/>
      <c r="G2" s="102"/>
      <c r="H2" s="99"/>
      <c r="I2" s="103" t="s">
        <v>183</v>
      </c>
      <c r="J2" s="103"/>
      <c r="K2" s="99"/>
      <c r="L2" s="99"/>
      <c r="M2" s="104"/>
      <c r="N2" s="32"/>
    </row>
    <row r="3" spans="1:43" x14ac:dyDescent="0.2">
      <c r="A3" s="92"/>
      <c r="B3" s="80"/>
      <c r="C3" s="80"/>
      <c r="D3" s="101"/>
      <c r="E3" s="80"/>
      <c r="F3" s="80"/>
      <c r="G3" s="80"/>
      <c r="H3" s="80"/>
      <c r="I3" s="80"/>
      <c r="J3" s="80"/>
      <c r="K3" s="80"/>
      <c r="L3" s="80"/>
      <c r="M3" s="88"/>
      <c r="N3" s="32"/>
    </row>
    <row r="4" spans="1:43" x14ac:dyDescent="0.2">
      <c r="A4" s="91" t="s">
        <v>2</v>
      </c>
      <c r="B4" s="80"/>
      <c r="C4" s="80"/>
      <c r="D4" s="79" t="s">
        <v>95</v>
      </c>
      <c r="E4" s="93" t="s">
        <v>167</v>
      </c>
      <c r="F4" s="80"/>
      <c r="G4" s="95">
        <v>42168</v>
      </c>
      <c r="H4" s="80"/>
      <c r="I4" s="79" t="s">
        <v>184</v>
      </c>
      <c r="J4" s="79"/>
      <c r="K4" s="80"/>
      <c r="L4" s="80"/>
      <c r="M4" s="88"/>
      <c r="N4" s="32"/>
    </row>
    <row r="5" spans="1:43" x14ac:dyDescent="0.2">
      <c r="A5" s="92"/>
      <c r="B5" s="80"/>
      <c r="C5" s="80"/>
      <c r="D5" s="80"/>
      <c r="E5" s="80"/>
      <c r="F5" s="80"/>
      <c r="G5" s="80"/>
      <c r="H5" s="80"/>
      <c r="I5" s="80"/>
      <c r="J5" s="80"/>
      <c r="K5" s="80"/>
      <c r="L5" s="80"/>
      <c r="M5" s="88"/>
      <c r="N5" s="32"/>
    </row>
    <row r="6" spans="1:43" x14ac:dyDescent="0.2">
      <c r="A6" s="91" t="s">
        <v>3</v>
      </c>
      <c r="B6" s="80"/>
      <c r="C6" s="80"/>
      <c r="D6" s="79" t="s">
        <v>96</v>
      </c>
      <c r="E6" s="93" t="s">
        <v>168</v>
      </c>
      <c r="F6" s="80"/>
      <c r="G6" s="80"/>
      <c r="H6" s="80"/>
      <c r="I6" s="79" t="s">
        <v>185</v>
      </c>
      <c r="J6" s="79"/>
      <c r="K6" s="80"/>
      <c r="L6" s="80"/>
      <c r="M6" s="88"/>
      <c r="N6" s="32"/>
    </row>
    <row r="7" spans="1:43" x14ac:dyDescent="0.2">
      <c r="A7" s="92"/>
      <c r="B7" s="80"/>
      <c r="C7" s="80"/>
      <c r="D7" s="80"/>
      <c r="E7" s="80"/>
      <c r="F7" s="80"/>
      <c r="G7" s="80"/>
      <c r="H7" s="80"/>
      <c r="I7" s="80"/>
      <c r="J7" s="80"/>
      <c r="K7" s="80"/>
      <c r="L7" s="80"/>
      <c r="M7" s="88"/>
      <c r="N7" s="32"/>
    </row>
    <row r="8" spans="1:43" x14ac:dyDescent="0.2">
      <c r="A8" s="91" t="s">
        <v>4</v>
      </c>
      <c r="B8" s="80"/>
      <c r="C8" s="80"/>
      <c r="D8" s="79"/>
      <c r="E8" s="93" t="s">
        <v>169</v>
      </c>
      <c r="F8" s="80"/>
      <c r="G8" s="95">
        <v>42168</v>
      </c>
      <c r="H8" s="80"/>
      <c r="I8" s="79" t="s">
        <v>186</v>
      </c>
      <c r="J8" s="79"/>
      <c r="K8" s="80"/>
      <c r="L8" s="80"/>
      <c r="M8" s="88"/>
      <c r="N8" s="32"/>
    </row>
    <row r="9" spans="1:43" x14ac:dyDescent="0.2">
      <c r="A9" s="94"/>
      <c r="B9" s="89"/>
      <c r="C9" s="89"/>
      <c r="D9" s="89"/>
      <c r="E9" s="89"/>
      <c r="F9" s="89"/>
      <c r="G9" s="89"/>
      <c r="H9" s="89"/>
      <c r="I9" s="89"/>
      <c r="J9" s="89"/>
      <c r="K9" s="89"/>
      <c r="L9" s="89"/>
      <c r="M9" s="90"/>
      <c r="N9" s="32"/>
    </row>
    <row r="10" spans="1:43" x14ac:dyDescent="0.2">
      <c r="A10" s="1" t="s">
        <v>5</v>
      </c>
      <c r="B10" s="10" t="s">
        <v>47</v>
      </c>
      <c r="C10" s="10" t="s">
        <v>48</v>
      </c>
      <c r="D10" s="10" t="s">
        <v>97</v>
      </c>
      <c r="E10" s="10" t="s">
        <v>170</v>
      </c>
      <c r="F10" s="18" t="s">
        <v>177</v>
      </c>
      <c r="G10" s="21" t="s">
        <v>178</v>
      </c>
      <c r="H10" s="83" t="s">
        <v>180</v>
      </c>
      <c r="I10" s="84"/>
      <c r="J10" s="85"/>
      <c r="K10" s="83" t="s">
        <v>189</v>
      </c>
      <c r="L10" s="85"/>
      <c r="M10" s="28" t="s">
        <v>190</v>
      </c>
      <c r="N10" s="33"/>
    </row>
    <row r="11" spans="1:43" x14ac:dyDescent="0.2">
      <c r="A11" s="2" t="s">
        <v>6</v>
      </c>
      <c r="B11" s="11" t="s">
        <v>6</v>
      </c>
      <c r="C11" s="11" t="s">
        <v>6</v>
      </c>
      <c r="D11" s="16" t="s">
        <v>98</v>
      </c>
      <c r="E11" s="11" t="s">
        <v>6</v>
      </c>
      <c r="F11" s="11" t="s">
        <v>6</v>
      </c>
      <c r="G11" s="22" t="s">
        <v>179</v>
      </c>
      <c r="H11" s="23" t="s">
        <v>181</v>
      </c>
      <c r="I11" s="24" t="s">
        <v>187</v>
      </c>
      <c r="J11" s="25" t="s">
        <v>188</v>
      </c>
      <c r="K11" s="23" t="s">
        <v>178</v>
      </c>
      <c r="L11" s="25" t="s">
        <v>188</v>
      </c>
      <c r="M11" s="29" t="s">
        <v>191</v>
      </c>
      <c r="N11" s="33"/>
      <c r="P11" s="27" t="s">
        <v>194</v>
      </c>
      <c r="Q11" s="27" t="s">
        <v>195</v>
      </c>
      <c r="R11" s="27" t="s">
        <v>199</v>
      </c>
      <c r="S11" s="27" t="s">
        <v>200</v>
      </c>
      <c r="T11" s="27" t="s">
        <v>201</v>
      </c>
      <c r="U11" s="27" t="s">
        <v>202</v>
      </c>
      <c r="V11" s="27" t="s">
        <v>203</v>
      </c>
      <c r="W11" s="27" t="s">
        <v>204</v>
      </c>
      <c r="X11" s="27" t="s">
        <v>205</v>
      </c>
    </row>
    <row r="12" spans="1:43" x14ac:dyDescent="0.2">
      <c r="A12" s="3"/>
      <c r="B12" s="12"/>
      <c r="C12" s="12" t="s">
        <v>37</v>
      </c>
      <c r="D12" s="86" t="s">
        <v>99</v>
      </c>
      <c r="E12" s="87"/>
      <c r="F12" s="87"/>
      <c r="G12" s="87"/>
      <c r="H12" s="36">
        <f>SUM(H13:H15)</f>
        <v>0</v>
      </c>
      <c r="I12" s="36">
        <f>SUM(I13:I15)</f>
        <v>0</v>
      </c>
      <c r="J12" s="36">
        <f>H12+I12</f>
        <v>0</v>
      </c>
      <c r="K12" s="26"/>
      <c r="L12" s="36">
        <f>SUM(L13:L15)</f>
        <v>21.379876000000003</v>
      </c>
      <c r="M12" s="26"/>
      <c r="P12" s="37">
        <f>IF(Q12="PR",J12,SUM(O13:O15))</f>
        <v>0</v>
      </c>
      <c r="Q12" s="27" t="s">
        <v>196</v>
      </c>
      <c r="R12" s="37">
        <f>IF(Q12="HS",H12,0)</f>
        <v>0</v>
      </c>
      <c r="S12" s="37">
        <f>IF(Q12="HS",I12-P12,0)</f>
        <v>0</v>
      </c>
      <c r="T12" s="37">
        <f>IF(Q12="PS",H12,0)</f>
        <v>0</v>
      </c>
      <c r="U12" s="37">
        <f>IF(Q12="PS",I12-P12,0)</f>
        <v>0</v>
      </c>
      <c r="V12" s="37">
        <f>IF(Q12="MP",H12,0)</f>
        <v>0</v>
      </c>
      <c r="W12" s="37">
        <f>IF(Q12="MP",I12-P12,0)</f>
        <v>0</v>
      </c>
      <c r="X12" s="37">
        <f>IF(Q12="OM",H12,0)</f>
        <v>0</v>
      </c>
      <c r="Y12" s="27"/>
      <c r="AI12" s="37">
        <f>SUM(Z13:Z15)</f>
        <v>0</v>
      </c>
      <c r="AJ12" s="37">
        <f>SUM(AA13:AA15)</f>
        <v>0</v>
      </c>
      <c r="AK12" s="37">
        <f>SUM(AB13:AB15)</f>
        <v>0</v>
      </c>
    </row>
    <row r="13" spans="1:43" x14ac:dyDescent="0.2">
      <c r="A13" s="4" t="s">
        <v>7</v>
      </c>
      <c r="B13" s="4"/>
      <c r="C13" s="4" t="s">
        <v>49</v>
      </c>
      <c r="D13" s="4" t="s">
        <v>100</v>
      </c>
      <c r="E13" s="4" t="s">
        <v>171</v>
      </c>
      <c r="F13" s="19">
        <v>17.399999999999999</v>
      </c>
      <c r="G13" s="68">
        <v>0</v>
      </c>
      <c r="H13" s="19">
        <f>ROUND(F13*AE13,2)</f>
        <v>0</v>
      </c>
      <c r="I13" s="19">
        <f>J13-H13</f>
        <v>0</v>
      </c>
      <c r="J13" s="19">
        <f>ROUND(F13*G13,2)</f>
        <v>0</v>
      </c>
      <c r="K13" s="19">
        <v>1.0908100000000001</v>
      </c>
      <c r="L13" s="19">
        <f>F13*K13</f>
        <v>18.980094000000001</v>
      </c>
      <c r="M13" s="30" t="s">
        <v>192</v>
      </c>
      <c r="N13" s="30" t="s">
        <v>7</v>
      </c>
      <c r="O13" s="19">
        <f>IF(N13="5",I13,0)</f>
        <v>0</v>
      </c>
      <c r="Z13" s="19">
        <f>IF(AD13=0,J13,0)</f>
        <v>0</v>
      </c>
      <c r="AA13" s="19">
        <f>IF(AD13=15,J13,0)</f>
        <v>0</v>
      </c>
      <c r="AB13" s="19">
        <f>IF(AD13=21,J13,0)</f>
        <v>0</v>
      </c>
      <c r="AD13" s="34">
        <v>21</v>
      </c>
      <c r="AE13" s="34">
        <f>G13*0.653945664125076</f>
        <v>0</v>
      </c>
      <c r="AF13" s="34">
        <f>G13*(1-0.653945664125076)</f>
        <v>0</v>
      </c>
      <c r="AM13" s="34">
        <f>F13*AE13</f>
        <v>0</v>
      </c>
      <c r="AN13" s="34">
        <f>F13*AF13</f>
        <v>0</v>
      </c>
      <c r="AO13" s="35" t="s">
        <v>206</v>
      </c>
      <c r="AP13" s="35" t="s">
        <v>217</v>
      </c>
      <c r="AQ13" s="27" t="s">
        <v>224</v>
      </c>
    </row>
    <row r="14" spans="1:43" x14ac:dyDescent="0.2">
      <c r="C14" s="14" t="s">
        <v>50</v>
      </c>
      <c r="D14" s="73" t="s">
        <v>101</v>
      </c>
      <c r="E14" s="74"/>
      <c r="F14" s="74"/>
      <c r="G14" s="74"/>
      <c r="H14" s="74"/>
      <c r="I14" s="74"/>
      <c r="J14" s="74"/>
      <c r="K14" s="74"/>
      <c r="L14" s="74"/>
      <c r="M14" s="74"/>
    </row>
    <row r="15" spans="1:43" x14ac:dyDescent="0.2">
      <c r="A15" s="4" t="s">
        <v>8</v>
      </c>
      <c r="B15" s="4"/>
      <c r="C15" s="4" t="s">
        <v>49</v>
      </c>
      <c r="D15" s="4" t="s">
        <v>102</v>
      </c>
      <c r="E15" s="4" t="s">
        <v>171</v>
      </c>
      <c r="F15" s="19">
        <v>2.2000000000000002</v>
      </c>
      <c r="G15" s="68">
        <v>0</v>
      </c>
      <c r="H15" s="19">
        <f>ROUND(F15*AE15,2)</f>
        <v>0</v>
      </c>
      <c r="I15" s="19">
        <f>J15-H15</f>
        <v>0</v>
      </c>
      <c r="J15" s="19">
        <f>ROUND(F15*G15,2)</f>
        <v>0</v>
      </c>
      <c r="K15" s="19">
        <v>1.0908100000000001</v>
      </c>
      <c r="L15" s="19">
        <f>F15*K15</f>
        <v>2.3997820000000005</v>
      </c>
      <c r="M15" s="30" t="s">
        <v>192</v>
      </c>
      <c r="N15" s="30" t="s">
        <v>7</v>
      </c>
      <c r="O15" s="19">
        <f>IF(N15="5",I15,0)</f>
        <v>0</v>
      </c>
      <c r="Z15" s="19">
        <f>IF(AD15=0,J15,0)</f>
        <v>0</v>
      </c>
      <c r="AA15" s="19">
        <f>IF(AD15=15,J15,0)</f>
        <v>0</v>
      </c>
      <c r="AB15" s="19">
        <f>IF(AD15=21,J15,0)</f>
        <v>0</v>
      </c>
      <c r="AD15" s="34">
        <v>21</v>
      </c>
      <c r="AE15" s="34">
        <f>G15*0.653945664125076</f>
        <v>0</v>
      </c>
      <c r="AF15" s="34">
        <f>G15*(1-0.653945664125076)</f>
        <v>0</v>
      </c>
      <c r="AM15" s="34">
        <f>F15*AE15</f>
        <v>0</v>
      </c>
      <c r="AN15" s="34">
        <f>F15*AF15</f>
        <v>0</v>
      </c>
      <c r="AO15" s="35" t="s">
        <v>206</v>
      </c>
      <c r="AP15" s="35" t="s">
        <v>217</v>
      </c>
      <c r="AQ15" s="27" t="s">
        <v>224</v>
      </c>
    </row>
    <row r="16" spans="1:43" x14ac:dyDescent="0.2">
      <c r="C16" s="14" t="s">
        <v>50</v>
      </c>
      <c r="D16" s="73" t="s">
        <v>101</v>
      </c>
      <c r="E16" s="74"/>
      <c r="F16" s="74"/>
      <c r="G16" s="74"/>
      <c r="H16" s="74"/>
      <c r="I16" s="74"/>
      <c r="J16" s="74"/>
      <c r="K16" s="74"/>
      <c r="L16" s="74"/>
      <c r="M16" s="74"/>
    </row>
    <row r="17" spans="1:43" x14ac:dyDescent="0.2">
      <c r="A17" s="5"/>
      <c r="B17" s="13"/>
      <c r="C17" s="13" t="s">
        <v>51</v>
      </c>
      <c r="D17" s="81" t="s">
        <v>103</v>
      </c>
      <c r="E17" s="82"/>
      <c r="F17" s="82"/>
      <c r="G17" s="82"/>
      <c r="H17" s="37">
        <f>SUM(H18:H31)</f>
        <v>0</v>
      </c>
      <c r="I17" s="37">
        <f>SUM(I18:I31)</f>
        <v>0</v>
      </c>
      <c r="J17" s="37">
        <f>H17+I17</f>
        <v>0</v>
      </c>
      <c r="K17" s="27"/>
      <c r="L17" s="37">
        <f>SUM(L18:L31)</f>
        <v>1.5947719999999999</v>
      </c>
      <c r="M17" s="27"/>
      <c r="P17" s="37">
        <f>IF(Q17="PR",J17,SUM(O18:O31))</f>
        <v>0</v>
      </c>
      <c r="Q17" s="27" t="s">
        <v>196</v>
      </c>
      <c r="R17" s="37">
        <f>IF(Q17="HS",H17,0)</f>
        <v>0</v>
      </c>
      <c r="S17" s="37">
        <f>IF(Q17="HS",I17-P17,0)</f>
        <v>0</v>
      </c>
      <c r="T17" s="37">
        <f>IF(Q17="PS",H17,0)</f>
        <v>0</v>
      </c>
      <c r="U17" s="37">
        <f>IF(Q17="PS",I17-P17,0)</f>
        <v>0</v>
      </c>
      <c r="V17" s="37">
        <f>IF(Q17="MP",H17,0)</f>
        <v>0</v>
      </c>
      <c r="W17" s="37">
        <f>IF(Q17="MP",I17-P17,0)</f>
        <v>0</v>
      </c>
      <c r="X17" s="37">
        <f>IF(Q17="OM",H17,0)</f>
        <v>0</v>
      </c>
      <c r="Y17" s="27"/>
      <c r="AI17" s="37">
        <f>SUM(Z18:Z31)</f>
        <v>0</v>
      </c>
      <c r="AJ17" s="37">
        <f>SUM(AA18:AA31)</f>
        <v>0</v>
      </c>
      <c r="AK17" s="37">
        <f>SUM(AB18:AB31)</f>
        <v>0</v>
      </c>
    </row>
    <row r="18" spans="1:43" x14ac:dyDescent="0.2">
      <c r="A18" s="4" t="s">
        <v>9</v>
      </c>
      <c r="B18" s="4"/>
      <c r="C18" s="4" t="s">
        <v>52</v>
      </c>
      <c r="D18" s="4" t="s">
        <v>104</v>
      </c>
      <c r="E18" s="4" t="s">
        <v>172</v>
      </c>
      <c r="F18" s="19">
        <v>25</v>
      </c>
      <c r="G18" s="68">
        <v>0</v>
      </c>
      <c r="H18" s="19">
        <f>ROUND(F18*AE18,2)</f>
        <v>0</v>
      </c>
      <c r="I18" s="19">
        <f>J18-H18</f>
        <v>0</v>
      </c>
      <c r="J18" s="19">
        <f>ROUND(F18*G18,2)</f>
        <v>0</v>
      </c>
      <c r="K18" s="19">
        <v>1.2189999999999999E-2</v>
      </c>
      <c r="L18" s="19">
        <f>F18*K18</f>
        <v>0.30474999999999997</v>
      </c>
      <c r="M18" s="30" t="s">
        <v>192</v>
      </c>
      <c r="N18" s="30" t="s">
        <v>7</v>
      </c>
      <c r="O18" s="19">
        <f>IF(N18="5",I18,0)</f>
        <v>0</v>
      </c>
      <c r="Z18" s="19">
        <f>IF(AD18=0,J18,0)</f>
        <v>0</v>
      </c>
      <c r="AA18" s="19">
        <f>IF(AD18=15,J18,0)</f>
        <v>0</v>
      </c>
      <c r="AB18" s="19">
        <f>IF(AD18=21,J18,0)</f>
        <v>0</v>
      </c>
      <c r="AD18" s="34">
        <v>21</v>
      </c>
      <c r="AE18" s="34">
        <f>G18*0.465504710632571</f>
        <v>0</v>
      </c>
      <c r="AF18" s="34">
        <f>G18*(1-0.465504710632571)</f>
        <v>0</v>
      </c>
      <c r="AM18" s="34">
        <f>F18*AE18</f>
        <v>0</v>
      </c>
      <c r="AN18" s="34">
        <f>F18*AF18</f>
        <v>0</v>
      </c>
      <c r="AO18" s="35" t="s">
        <v>207</v>
      </c>
      <c r="AP18" s="35" t="s">
        <v>218</v>
      </c>
      <c r="AQ18" s="27" t="s">
        <v>224</v>
      </c>
    </row>
    <row r="19" spans="1:43" ht="25.7" customHeight="1" x14ac:dyDescent="0.2">
      <c r="C19" s="14" t="s">
        <v>50</v>
      </c>
      <c r="D19" s="73" t="s">
        <v>105</v>
      </c>
      <c r="E19" s="74"/>
      <c r="F19" s="74"/>
      <c r="G19" s="74"/>
      <c r="H19" s="74"/>
      <c r="I19" s="74"/>
      <c r="J19" s="74"/>
      <c r="K19" s="74"/>
      <c r="L19" s="74"/>
      <c r="M19" s="74"/>
    </row>
    <row r="20" spans="1:43" x14ac:dyDescent="0.2">
      <c r="A20" s="4" t="s">
        <v>10</v>
      </c>
      <c r="B20" s="4"/>
      <c r="C20" s="4" t="s">
        <v>53</v>
      </c>
      <c r="D20" s="4" t="s">
        <v>106</v>
      </c>
      <c r="E20" s="4" t="s">
        <v>172</v>
      </c>
      <c r="F20" s="19">
        <v>25</v>
      </c>
      <c r="G20" s="68">
        <v>0</v>
      </c>
      <c r="H20" s="19">
        <f>ROUND(F20*AE20,2)</f>
        <v>0</v>
      </c>
      <c r="I20" s="19">
        <f>J20-H20</f>
        <v>0</v>
      </c>
      <c r="J20" s="19">
        <f>ROUND(F20*G20,2)</f>
        <v>0</v>
      </c>
      <c r="K20" s="19">
        <v>1.2880000000000001E-2</v>
      </c>
      <c r="L20" s="19">
        <f>F20*K20</f>
        <v>0.32200000000000001</v>
      </c>
      <c r="M20" s="30" t="s">
        <v>192</v>
      </c>
      <c r="N20" s="30" t="s">
        <v>7</v>
      </c>
      <c r="O20" s="19">
        <f>IF(N20="5",I20,0)</f>
        <v>0</v>
      </c>
      <c r="Z20" s="19">
        <f>IF(AD20=0,J20,0)</f>
        <v>0</v>
      </c>
      <c r="AA20" s="19">
        <f>IF(AD20=15,J20,0)</f>
        <v>0</v>
      </c>
      <c r="AB20" s="19">
        <f>IF(AD20=21,J20,0)</f>
        <v>0</v>
      </c>
      <c r="AD20" s="34">
        <v>21</v>
      </c>
      <c r="AE20" s="34">
        <f>G20*0.497939317319848</f>
        <v>0</v>
      </c>
      <c r="AF20" s="34">
        <f>G20*(1-0.497939317319848)</f>
        <v>0</v>
      </c>
      <c r="AM20" s="34">
        <f>F20*AE20</f>
        <v>0</v>
      </c>
      <c r="AN20" s="34">
        <f>F20*AF20</f>
        <v>0</v>
      </c>
      <c r="AO20" s="35" t="s">
        <v>207</v>
      </c>
      <c r="AP20" s="35" t="s">
        <v>218</v>
      </c>
      <c r="AQ20" s="27" t="s">
        <v>224</v>
      </c>
    </row>
    <row r="21" spans="1:43" ht="25.7" customHeight="1" x14ac:dyDescent="0.2">
      <c r="C21" s="14" t="s">
        <v>50</v>
      </c>
      <c r="D21" s="73" t="s">
        <v>105</v>
      </c>
      <c r="E21" s="74"/>
      <c r="F21" s="74"/>
      <c r="G21" s="74"/>
      <c r="H21" s="74"/>
      <c r="I21" s="74"/>
      <c r="J21" s="74"/>
      <c r="K21" s="74"/>
      <c r="L21" s="74"/>
      <c r="M21" s="74"/>
    </row>
    <row r="22" spans="1:43" x14ac:dyDescent="0.2">
      <c r="A22" s="4" t="s">
        <v>11</v>
      </c>
      <c r="B22" s="4"/>
      <c r="C22" s="4" t="s">
        <v>54</v>
      </c>
      <c r="D22" s="4" t="s">
        <v>107</v>
      </c>
      <c r="E22" s="4" t="s">
        <v>172</v>
      </c>
      <c r="F22" s="19">
        <v>43.8</v>
      </c>
      <c r="G22" s="68">
        <v>0</v>
      </c>
      <c r="H22" s="19">
        <f>ROUND(F22*AE22,2)</f>
        <v>0</v>
      </c>
      <c r="I22" s="19">
        <f>J22-H22</f>
        <v>0</v>
      </c>
      <c r="J22" s="19">
        <f>ROUND(F22*G22,2)</f>
        <v>0</v>
      </c>
      <c r="K22" s="19">
        <v>1.251E-2</v>
      </c>
      <c r="L22" s="19">
        <f>F22*K22</f>
        <v>0.54793799999999993</v>
      </c>
      <c r="M22" s="30" t="s">
        <v>192</v>
      </c>
      <c r="N22" s="30" t="s">
        <v>7</v>
      </c>
      <c r="O22" s="19">
        <f>IF(N22="5",I22,0)</f>
        <v>0</v>
      </c>
      <c r="Z22" s="19">
        <f>IF(AD22=0,J22,0)</f>
        <v>0</v>
      </c>
      <c r="AA22" s="19">
        <f>IF(AD22=15,J22,0)</f>
        <v>0</v>
      </c>
      <c r="AB22" s="19">
        <f>IF(AD22=21,J22,0)</f>
        <v>0</v>
      </c>
      <c r="AD22" s="34">
        <v>21</v>
      </c>
      <c r="AE22" s="34">
        <f>G22*0.480875816993464</f>
        <v>0</v>
      </c>
      <c r="AF22" s="34">
        <f>G22*(1-0.480875816993464)</f>
        <v>0</v>
      </c>
      <c r="AM22" s="34">
        <f>F22*AE22</f>
        <v>0</v>
      </c>
      <c r="AN22" s="34">
        <f>F22*AF22</f>
        <v>0</v>
      </c>
      <c r="AO22" s="35" t="s">
        <v>207</v>
      </c>
      <c r="AP22" s="35" t="s">
        <v>218</v>
      </c>
      <c r="AQ22" s="27" t="s">
        <v>224</v>
      </c>
    </row>
    <row r="23" spans="1:43" ht="25.7" customHeight="1" x14ac:dyDescent="0.2">
      <c r="C23" s="14" t="s">
        <v>50</v>
      </c>
      <c r="D23" s="73" t="s">
        <v>108</v>
      </c>
      <c r="E23" s="74"/>
      <c r="F23" s="74"/>
      <c r="G23" s="74"/>
      <c r="H23" s="74"/>
      <c r="I23" s="74"/>
      <c r="J23" s="74"/>
      <c r="K23" s="74"/>
      <c r="L23" s="74"/>
      <c r="M23" s="74"/>
    </row>
    <row r="24" spans="1:43" x14ac:dyDescent="0.2">
      <c r="A24" s="4" t="s">
        <v>12</v>
      </c>
      <c r="B24" s="4"/>
      <c r="C24" s="4" t="s">
        <v>54</v>
      </c>
      <c r="D24" s="4" t="s">
        <v>109</v>
      </c>
      <c r="E24" s="4" t="s">
        <v>172</v>
      </c>
      <c r="F24" s="19">
        <v>4</v>
      </c>
      <c r="G24" s="68">
        <v>0</v>
      </c>
      <c r="H24" s="19">
        <f>ROUND(F24*AE24,2)</f>
        <v>0</v>
      </c>
      <c r="I24" s="19">
        <f>J24-H24</f>
        <v>0</v>
      </c>
      <c r="J24" s="19">
        <f>ROUND(F24*G24,2)</f>
        <v>0</v>
      </c>
      <c r="K24" s="19">
        <v>1.251E-2</v>
      </c>
      <c r="L24" s="19">
        <f>F24*K24</f>
        <v>5.0040000000000001E-2</v>
      </c>
      <c r="M24" s="30" t="s">
        <v>192</v>
      </c>
      <c r="N24" s="30" t="s">
        <v>7</v>
      </c>
      <c r="O24" s="19">
        <f>IF(N24="5",I24,0)</f>
        <v>0</v>
      </c>
      <c r="Z24" s="19">
        <f>IF(AD24=0,J24,0)</f>
        <v>0</v>
      </c>
      <c r="AA24" s="19">
        <f>IF(AD24=15,J24,0)</f>
        <v>0</v>
      </c>
      <c r="AB24" s="19">
        <f>IF(AD24=21,J24,0)</f>
        <v>0</v>
      </c>
      <c r="AD24" s="34">
        <v>21</v>
      </c>
      <c r="AE24" s="34">
        <f>G24*0.480875816993464</f>
        <v>0</v>
      </c>
      <c r="AF24" s="34">
        <f>G24*(1-0.480875816993464)</f>
        <v>0</v>
      </c>
      <c r="AM24" s="34">
        <f>F24*AE24</f>
        <v>0</v>
      </c>
      <c r="AN24" s="34">
        <f>F24*AF24</f>
        <v>0</v>
      </c>
      <c r="AO24" s="35" t="s">
        <v>207</v>
      </c>
      <c r="AP24" s="35" t="s">
        <v>218</v>
      </c>
      <c r="AQ24" s="27" t="s">
        <v>224</v>
      </c>
    </row>
    <row r="25" spans="1:43" ht="25.7" customHeight="1" x14ac:dyDescent="0.2">
      <c r="C25" s="14" t="s">
        <v>50</v>
      </c>
      <c r="D25" s="73" t="s">
        <v>108</v>
      </c>
      <c r="E25" s="74"/>
      <c r="F25" s="74"/>
      <c r="G25" s="74"/>
      <c r="H25" s="74"/>
      <c r="I25" s="74"/>
      <c r="J25" s="74"/>
      <c r="K25" s="74"/>
      <c r="L25" s="74"/>
      <c r="M25" s="74"/>
    </row>
    <row r="26" spans="1:43" x14ac:dyDescent="0.2">
      <c r="A26" s="4" t="s">
        <v>13</v>
      </c>
      <c r="B26" s="4"/>
      <c r="C26" s="4" t="s">
        <v>55</v>
      </c>
      <c r="D26" s="4" t="s">
        <v>110</v>
      </c>
      <c r="E26" s="4" t="s">
        <v>172</v>
      </c>
      <c r="F26" s="19">
        <v>65</v>
      </c>
      <c r="G26" s="68">
        <v>0</v>
      </c>
      <c r="H26" s="19">
        <f>ROUND(F26*AE26,2)</f>
        <v>0</v>
      </c>
      <c r="I26" s="19">
        <f>J26-H26</f>
        <v>0</v>
      </c>
      <c r="J26" s="19">
        <f>ROUND(F26*G26,2)</f>
        <v>0</v>
      </c>
      <c r="K26" s="19">
        <v>4.0000000000000003E-5</v>
      </c>
      <c r="L26" s="19">
        <f>F26*K26</f>
        <v>2.6000000000000003E-3</v>
      </c>
      <c r="M26" s="30" t="s">
        <v>192</v>
      </c>
      <c r="N26" s="30" t="s">
        <v>7</v>
      </c>
      <c r="O26" s="19">
        <f>IF(N26="5",I26,0)</f>
        <v>0</v>
      </c>
      <c r="Z26" s="19">
        <f>IF(AD26=0,J26,0)</f>
        <v>0</v>
      </c>
      <c r="AA26" s="19">
        <f>IF(AD26=15,J26,0)</f>
        <v>0</v>
      </c>
      <c r="AB26" s="19">
        <f>IF(AD26=21,J26,0)</f>
        <v>0</v>
      </c>
      <c r="AD26" s="34">
        <v>21</v>
      </c>
      <c r="AE26" s="34">
        <f>G26*0.397861889627275</f>
        <v>0</v>
      </c>
      <c r="AF26" s="34">
        <f>G26*(1-0.397861889627275)</f>
        <v>0</v>
      </c>
      <c r="AM26" s="34">
        <f>F26*AE26</f>
        <v>0</v>
      </c>
      <c r="AN26" s="34">
        <f>F26*AF26</f>
        <v>0</v>
      </c>
      <c r="AO26" s="35" t="s">
        <v>207</v>
      </c>
      <c r="AP26" s="35" t="s">
        <v>218</v>
      </c>
      <c r="AQ26" s="27" t="s">
        <v>224</v>
      </c>
    </row>
    <row r="27" spans="1:43" ht="38.450000000000003" customHeight="1" x14ac:dyDescent="0.2">
      <c r="C27" s="14" t="s">
        <v>50</v>
      </c>
      <c r="D27" s="73" t="s">
        <v>111</v>
      </c>
      <c r="E27" s="74"/>
      <c r="F27" s="74"/>
      <c r="G27" s="74"/>
      <c r="H27" s="74"/>
      <c r="I27" s="74"/>
      <c r="J27" s="74"/>
      <c r="K27" s="74"/>
      <c r="L27" s="74"/>
      <c r="M27" s="74"/>
    </row>
    <row r="28" spans="1:43" x14ac:dyDescent="0.2">
      <c r="A28" s="4" t="s">
        <v>14</v>
      </c>
      <c r="B28" s="4"/>
      <c r="C28" s="4" t="s">
        <v>56</v>
      </c>
      <c r="D28" s="4" t="s">
        <v>112</v>
      </c>
      <c r="E28" s="4" t="s">
        <v>172</v>
      </c>
      <c r="F28" s="19">
        <v>10.8</v>
      </c>
      <c r="G28" s="68">
        <v>0</v>
      </c>
      <c r="H28" s="19">
        <f>ROUND(F28*AE28,2)</f>
        <v>0</v>
      </c>
      <c r="I28" s="19">
        <f>J28-H28</f>
        <v>0</v>
      </c>
      <c r="J28" s="19">
        <f>ROUND(F28*G28,2)</f>
        <v>0</v>
      </c>
      <c r="K28" s="19">
        <v>1.043E-2</v>
      </c>
      <c r="L28" s="19">
        <f>F28*K28</f>
        <v>0.11264400000000001</v>
      </c>
      <c r="M28" s="30" t="s">
        <v>192</v>
      </c>
      <c r="N28" s="30" t="s">
        <v>7</v>
      </c>
      <c r="O28" s="19">
        <f>IF(N28="5",I28,0)</f>
        <v>0</v>
      </c>
      <c r="Z28" s="19">
        <f>IF(AD28=0,J28,0)</f>
        <v>0</v>
      </c>
      <c r="AA28" s="19">
        <f>IF(AD28=15,J28,0)</f>
        <v>0</v>
      </c>
      <c r="AB28" s="19">
        <f>IF(AD28=21,J28,0)</f>
        <v>0</v>
      </c>
      <c r="AD28" s="34">
        <v>21</v>
      </c>
      <c r="AE28" s="34">
        <f>G28*0.463027950310559</f>
        <v>0</v>
      </c>
      <c r="AF28" s="34">
        <f>G28*(1-0.463027950310559)</f>
        <v>0</v>
      </c>
      <c r="AM28" s="34">
        <f>F28*AE28</f>
        <v>0</v>
      </c>
      <c r="AN28" s="34">
        <f>F28*AF28</f>
        <v>0</v>
      </c>
      <c r="AO28" s="35" t="s">
        <v>207</v>
      </c>
      <c r="AP28" s="35" t="s">
        <v>218</v>
      </c>
      <c r="AQ28" s="27" t="s">
        <v>224</v>
      </c>
    </row>
    <row r="29" spans="1:43" x14ac:dyDescent="0.2">
      <c r="C29" s="14" t="s">
        <v>50</v>
      </c>
      <c r="D29" s="73" t="s">
        <v>113</v>
      </c>
      <c r="E29" s="74"/>
      <c r="F29" s="74"/>
      <c r="G29" s="74"/>
      <c r="H29" s="74"/>
      <c r="I29" s="74"/>
      <c r="J29" s="74"/>
      <c r="K29" s="74"/>
      <c r="L29" s="74"/>
      <c r="M29" s="74"/>
    </row>
    <row r="30" spans="1:43" x14ac:dyDescent="0.2">
      <c r="A30" s="4" t="s">
        <v>15</v>
      </c>
      <c r="B30" s="4"/>
      <c r="C30" s="4" t="s">
        <v>57</v>
      </c>
      <c r="D30" s="4" t="s">
        <v>114</v>
      </c>
      <c r="E30" s="4" t="s">
        <v>173</v>
      </c>
      <c r="F30" s="19">
        <v>30</v>
      </c>
      <c r="G30" s="68">
        <v>0</v>
      </c>
      <c r="H30" s="19">
        <f>ROUND(F30*AE30,2)</f>
        <v>0</v>
      </c>
      <c r="I30" s="19">
        <f>J30-H30</f>
        <v>0</v>
      </c>
      <c r="J30" s="19">
        <f>ROUND(F30*G30,2)</f>
        <v>0</v>
      </c>
      <c r="K30" s="19">
        <v>6.4000000000000005E-4</v>
      </c>
      <c r="L30" s="19">
        <f>F30*K30</f>
        <v>1.9200000000000002E-2</v>
      </c>
      <c r="M30" s="30" t="s">
        <v>192</v>
      </c>
      <c r="N30" s="30" t="s">
        <v>7</v>
      </c>
      <c r="O30" s="19">
        <f>IF(N30="5",I30,0)</f>
        <v>0</v>
      </c>
      <c r="Z30" s="19">
        <f>IF(AD30=0,J30,0)</f>
        <v>0</v>
      </c>
      <c r="AA30" s="19">
        <f>IF(AD30=15,J30,0)</f>
        <v>0</v>
      </c>
      <c r="AB30" s="19">
        <f>IF(AD30=21,J30,0)</f>
        <v>0</v>
      </c>
      <c r="AD30" s="34">
        <v>21</v>
      </c>
      <c r="AE30" s="34">
        <f>G30*0.51</f>
        <v>0</v>
      </c>
      <c r="AF30" s="34">
        <f>G30*(1-0.51)</f>
        <v>0</v>
      </c>
      <c r="AM30" s="34">
        <f>F30*AE30</f>
        <v>0</v>
      </c>
      <c r="AN30" s="34">
        <f>F30*AF30</f>
        <v>0</v>
      </c>
      <c r="AO30" s="35" t="s">
        <v>207</v>
      </c>
      <c r="AP30" s="35" t="s">
        <v>218</v>
      </c>
      <c r="AQ30" s="27" t="s">
        <v>224</v>
      </c>
    </row>
    <row r="31" spans="1:43" x14ac:dyDescent="0.2">
      <c r="A31" s="4" t="s">
        <v>16</v>
      </c>
      <c r="B31" s="4"/>
      <c r="C31" s="4" t="s">
        <v>58</v>
      </c>
      <c r="D31" s="4" t="s">
        <v>115</v>
      </c>
      <c r="E31" s="4" t="s">
        <v>172</v>
      </c>
      <c r="F31" s="19">
        <v>380</v>
      </c>
      <c r="G31" s="68">
        <v>0</v>
      </c>
      <c r="H31" s="19">
        <f>ROUND(F31*AE31,2)</f>
        <v>0</v>
      </c>
      <c r="I31" s="19">
        <f>J31-H31</f>
        <v>0</v>
      </c>
      <c r="J31" s="19">
        <f>ROUND(F31*G31,2)</f>
        <v>0</v>
      </c>
      <c r="K31" s="19">
        <v>6.2E-4</v>
      </c>
      <c r="L31" s="19">
        <f>F31*K31</f>
        <v>0.2356</v>
      </c>
      <c r="M31" s="30" t="s">
        <v>192</v>
      </c>
      <c r="N31" s="30" t="s">
        <v>7</v>
      </c>
      <c r="O31" s="19">
        <f>IF(N31="5",I31,0)</f>
        <v>0</v>
      </c>
      <c r="Z31" s="19">
        <f>IF(AD31=0,J31,0)</f>
        <v>0</v>
      </c>
      <c r="AA31" s="19">
        <f>IF(AD31=15,J31,0)</f>
        <v>0</v>
      </c>
      <c r="AB31" s="19">
        <f>IF(AD31=21,J31,0)</f>
        <v>0</v>
      </c>
      <c r="AD31" s="34">
        <v>21</v>
      </c>
      <c r="AE31" s="34">
        <f>G31*0.601703115928005</f>
        <v>0</v>
      </c>
      <c r="AF31" s="34">
        <f>G31*(1-0.601703115928005)</f>
        <v>0</v>
      </c>
      <c r="AM31" s="34">
        <f>F31*AE31</f>
        <v>0</v>
      </c>
      <c r="AN31" s="34">
        <f>F31*AF31</f>
        <v>0</v>
      </c>
      <c r="AO31" s="35" t="s">
        <v>207</v>
      </c>
      <c r="AP31" s="35" t="s">
        <v>218</v>
      </c>
      <c r="AQ31" s="27" t="s">
        <v>224</v>
      </c>
    </row>
    <row r="32" spans="1:43" x14ac:dyDescent="0.2">
      <c r="C32" s="14" t="s">
        <v>50</v>
      </c>
      <c r="D32" s="73" t="s">
        <v>116</v>
      </c>
      <c r="E32" s="74"/>
      <c r="F32" s="74"/>
      <c r="G32" s="74"/>
      <c r="H32" s="74"/>
      <c r="I32" s="74"/>
      <c r="J32" s="74"/>
      <c r="K32" s="74"/>
      <c r="L32" s="74"/>
      <c r="M32" s="74"/>
    </row>
    <row r="33" spans="1:43" x14ac:dyDescent="0.2">
      <c r="A33" s="5"/>
      <c r="B33" s="13"/>
      <c r="C33" s="13" t="s">
        <v>59</v>
      </c>
      <c r="D33" s="81" t="s">
        <v>117</v>
      </c>
      <c r="E33" s="82"/>
      <c r="F33" s="82"/>
      <c r="G33" s="82"/>
      <c r="H33" s="37">
        <f>SUM(H34:H38)</f>
        <v>0</v>
      </c>
      <c r="I33" s="37">
        <f>SUM(I34:I38)</f>
        <v>0</v>
      </c>
      <c r="J33" s="37">
        <f>H33+I33</f>
        <v>0</v>
      </c>
      <c r="K33" s="27"/>
      <c r="L33" s="37">
        <f>SUM(L34:L38)</f>
        <v>1.4356199999999999</v>
      </c>
      <c r="M33" s="27"/>
      <c r="P33" s="37">
        <f>IF(Q33="PR",J33,SUM(O34:O38))</f>
        <v>0</v>
      </c>
      <c r="Q33" s="27" t="s">
        <v>196</v>
      </c>
      <c r="R33" s="37">
        <f>IF(Q33="HS",H33,0)</f>
        <v>0</v>
      </c>
      <c r="S33" s="37">
        <f>IF(Q33="HS",I33-P33,0)</f>
        <v>0</v>
      </c>
      <c r="T33" s="37">
        <f>IF(Q33="PS",H33,0)</f>
        <v>0</v>
      </c>
      <c r="U33" s="37">
        <f>IF(Q33="PS",I33-P33,0)</f>
        <v>0</v>
      </c>
      <c r="V33" s="37">
        <f>IF(Q33="MP",H33,0)</f>
        <v>0</v>
      </c>
      <c r="W33" s="37">
        <f>IF(Q33="MP",I33-P33,0)</f>
        <v>0</v>
      </c>
      <c r="X33" s="37">
        <f>IF(Q33="OM",H33,0)</f>
        <v>0</v>
      </c>
      <c r="Y33" s="27"/>
      <c r="AI33" s="37">
        <f>SUM(Z34:Z38)</f>
        <v>0</v>
      </c>
      <c r="AJ33" s="37">
        <f>SUM(AA34:AA38)</f>
        <v>0</v>
      </c>
      <c r="AK33" s="37">
        <f>SUM(AB34:AB38)</f>
        <v>0</v>
      </c>
    </row>
    <row r="34" spans="1:43" x14ac:dyDescent="0.2">
      <c r="A34" s="4" t="s">
        <v>17</v>
      </c>
      <c r="B34" s="4"/>
      <c r="C34" s="4" t="s">
        <v>60</v>
      </c>
      <c r="D34" s="4" t="s">
        <v>118</v>
      </c>
      <c r="E34" s="4" t="s">
        <v>173</v>
      </c>
      <c r="F34" s="19">
        <v>30</v>
      </c>
      <c r="G34" s="68">
        <v>0</v>
      </c>
      <c r="H34" s="19">
        <f>ROUND(F34*AE34,2)</f>
        <v>0</v>
      </c>
      <c r="I34" s="19">
        <f>J34-H34</f>
        <v>0</v>
      </c>
      <c r="J34" s="19">
        <f>ROUND(F34*G34,2)</f>
        <v>0</v>
      </c>
      <c r="K34" s="19">
        <v>5.5100000000000001E-3</v>
      </c>
      <c r="L34" s="19">
        <f>F34*K34</f>
        <v>0.1653</v>
      </c>
      <c r="M34" s="30" t="s">
        <v>192</v>
      </c>
      <c r="N34" s="30" t="s">
        <v>7</v>
      </c>
      <c r="O34" s="19">
        <f>IF(N34="5",I34,0)</f>
        <v>0</v>
      </c>
      <c r="Z34" s="19">
        <f>IF(AD34=0,J34,0)</f>
        <v>0</v>
      </c>
      <c r="AA34" s="19">
        <f>IF(AD34=15,J34,0)</f>
        <v>0</v>
      </c>
      <c r="AB34" s="19">
        <f>IF(AD34=21,J34,0)</f>
        <v>0</v>
      </c>
      <c r="AD34" s="34">
        <v>21</v>
      </c>
      <c r="AE34" s="34">
        <f>G34*0.622864033410782</f>
        <v>0</v>
      </c>
      <c r="AF34" s="34">
        <f>G34*(1-0.622864033410782)</f>
        <v>0</v>
      </c>
      <c r="AM34" s="34">
        <f>F34*AE34</f>
        <v>0</v>
      </c>
      <c r="AN34" s="34">
        <f>F34*AF34</f>
        <v>0</v>
      </c>
      <c r="AO34" s="35" t="s">
        <v>208</v>
      </c>
      <c r="AP34" s="35" t="s">
        <v>218</v>
      </c>
      <c r="AQ34" s="27" t="s">
        <v>224</v>
      </c>
    </row>
    <row r="35" spans="1:43" ht="25.7" customHeight="1" x14ac:dyDescent="0.2">
      <c r="C35" s="14" t="s">
        <v>50</v>
      </c>
      <c r="D35" s="73" t="s">
        <v>119</v>
      </c>
      <c r="E35" s="74"/>
      <c r="F35" s="74"/>
      <c r="G35" s="74"/>
      <c r="H35" s="74"/>
      <c r="I35" s="74"/>
      <c r="J35" s="74"/>
      <c r="K35" s="74"/>
      <c r="L35" s="74"/>
      <c r="M35" s="74"/>
    </row>
    <row r="36" spans="1:43" x14ac:dyDescent="0.2">
      <c r="A36" s="4" t="s">
        <v>18</v>
      </c>
      <c r="B36" s="4"/>
      <c r="C36" s="4" t="s">
        <v>61</v>
      </c>
      <c r="D36" s="4" t="s">
        <v>120</v>
      </c>
      <c r="E36" s="4" t="s">
        <v>174</v>
      </c>
      <c r="F36" s="19">
        <v>18</v>
      </c>
      <c r="G36" s="68">
        <v>0</v>
      </c>
      <c r="H36" s="19">
        <f>ROUND(F36*AE36,2)</f>
        <v>0</v>
      </c>
      <c r="I36" s="19">
        <f>J36-H36</f>
        <v>0</v>
      </c>
      <c r="J36" s="19">
        <f>ROUND(F36*G36,2)</f>
        <v>0</v>
      </c>
      <c r="K36" s="19">
        <v>6.1400000000000003E-2</v>
      </c>
      <c r="L36" s="19">
        <f>F36*K36</f>
        <v>1.1052</v>
      </c>
      <c r="M36" s="30" t="s">
        <v>192</v>
      </c>
      <c r="N36" s="30" t="s">
        <v>7</v>
      </c>
      <c r="O36" s="19">
        <f>IF(N36="5",I36,0)</f>
        <v>0</v>
      </c>
      <c r="Z36" s="19">
        <f>IF(AD36=0,J36,0)</f>
        <v>0</v>
      </c>
      <c r="AA36" s="19">
        <f>IF(AD36=15,J36,0)</f>
        <v>0</v>
      </c>
      <c r="AB36" s="19">
        <f>IF(AD36=21,J36,0)</f>
        <v>0</v>
      </c>
      <c r="AD36" s="34">
        <v>21</v>
      </c>
      <c r="AE36" s="34">
        <f>G36*0.34970802919708</f>
        <v>0</v>
      </c>
      <c r="AF36" s="34">
        <f>G36*(1-0.34970802919708)</f>
        <v>0</v>
      </c>
      <c r="AM36" s="34">
        <f>F36*AE36</f>
        <v>0</v>
      </c>
      <c r="AN36" s="34">
        <f>F36*AF36</f>
        <v>0</v>
      </c>
      <c r="AO36" s="35" t="s">
        <v>208</v>
      </c>
      <c r="AP36" s="35" t="s">
        <v>218</v>
      </c>
      <c r="AQ36" s="27" t="s">
        <v>224</v>
      </c>
    </row>
    <row r="37" spans="1:43" ht="25.7" customHeight="1" x14ac:dyDescent="0.2">
      <c r="C37" s="14" t="s">
        <v>50</v>
      </c>
      <c r="D37" s="73" t="s">
        <v>121</v>
      </c>
      <c r="E37" s="74"/>
      <c r="F37" s="74"/>
      <c r="G37" s="74"/>
      <c r="H37" s="74"/>
      <c r="I37" s="74"/>
      <c r="J37" s="74"/>
      <c r="K37" s="74"/>
      <c r="L37" s="74"/>
      <c r="M37" s="74"/>
    </row>
    <row r="38" spans="1:43" x14ac:dyDescent="0.2">
      <c r="A38" s="4" t="s">
        <v>19</v>
      </c>
      <c r="B38" s="4"/>
      <c r="C38" s="4" t="s">
        <v>62</v>
      </c>
      <c r="D38" s="4" t="s">
        <v>122</v>
      </c>
      <c r="E38" s="4" t="s">
        <v>174</v>
      </c>
      <c r="F38" s="19">
        <v>4</v>
      </c>
      <c r="G38" s="68">
        <v>0</v>
      </c>
      <c r="H38" s="19">
        <f>ROUND(F38*AE38,2)</f>
        <v>0</v>
      </c>
      <c r="I38" s="19">
        <f>J38-H38</f>
        <v>0</v>
      </c>
      <c r="J38" s="19">
        <f>ROUND(F38*G38,2)</f>
        <v>0</v>
      </c>
      <c r="K38" s="19">
        <v>4.1279999999999997E-2</v>
      </c>
      <c r="L38" s="19">
        <f>F38*K38</f>
        <v>0.16511999999999999</v>
      </c>
      <c r="M38" s="30" t="s">
        <v>192</v>
      </c>
      <c r="N38" s="30" t="s">
        <v>7</v>
      </c>
      <c r="O38" s="19">
        <f>IF(N38="5",I38,0)</f>
        <v>0</v>
      </c>
      <c r="Z38" s="19">
        <f>IF(AD38=0,J38,0)</f>
        <v>0</v>
      </c>
      <c r="AA38" s="19">
        <f>IF(AD38=15,J38,0)</f>
        <v>0</v>
      </c>
      <c r="AB38" s="19">
        <f>IF(AD38=21,J38,0)</f>
        <v>0</v>
      </c>
      <c r="AD38" s="34">
        <v>21</v>
      </c>
      <c r="AE38" s="34">
        <f>G38*0.309175412293853</f>
        <v>0</v>
      </c>
      <c r="AF38" s="34">
        <f>G38*(1-0.309175412293853)</f>
        <v>0</v>
      </c>
      <c r="AM38" s="34">
        <f>F38*AE38</f>
        <v>0</v>
      </c>
      <c r="AN38" s="34">
        <f>F38*AF38</f>
        <v>0</v>
      </c>
      <c r="AO38" s="35" t="s">
        <v>208</v>
      </c>
      <c r="AP38" s="35" t="s">
        <v>218</v>
      </c>
      <c r="AQ38" s="27" t="s">
        <v>224</v>
      </c>
    </row>
    <row r="39" spans="1:43" ht="25.7" customHeight="1" x14ac:dyDescent="0.2">
      <c r="C39" s="14" t="s">
        <v>50</v>
      </c>
      <c r="D39" s="73" t="s">
        <v>121</v>
      </c>
      <c r="E39" s="74"/>
      <c r="F39" s="74"/>
      <c r="G39" s="74"/>
      <c r="H39" s="74"/>
      <c r="I39" s="74"/>
      <c r="J39" s="74"/>
      <c r="K39" s="74"/>
      <c r="L39" s="74"/>
      <c r="M39" s="74"/>
    </row>
    <row r="40" spans="1:43" x14ac:dyDescent="0.2">
      <c r="A40" s="5"/>
      <c r="B40" s="13"/>
      <c r="C40" s="13" t="s">
        <v>63</v>
      </c>
      <c r="D40" s="81" t="s">
        <v>123</v>
      </c>
      <c r="E40" s="82"/>
      <c r="F40" s="82"/>
      <c r="G40" s="82"/>
      <c r="H40" s="37">
        <f>SUM(H41:H41)</f>
        <v>0</v>
      </c>
      <c r="I40" s="37">
        <f>SUM(I41:I41)</f>
        <v>0</v>
      </c>
      <c r="J40" s="37">
        <f>H40+I40</f>
        <v>0</v>
      </c>
      <c r="K40" s="27"/>
      <c r="L40" s="37">
        <f>SUM(L41:L41)</f>
        <v>1.8E-3</v>
      </c>
      <c r="M40" s="27"/>
      <c r="P40" s="37">
        <f>IF(Q40="PR",J40,SUM(O41:O41))</f>
        <v>0</v>
      </c>
      <c r="Q40" s="27" t="s">
        <v>197</v>
      </c>
      <c r="R40" s="37">
        <f>IF(Q40="HS",H40,0)</f>
        <v>0</v>
      </c>
      <c r="S40" s="37">
        <f>IF(Q40="HS",I40-P40,0)</f>
        <v>0</v>
      </c>
      <c r="T40" s="37">
        <f>IF(Q40="PS",H40,0)</f>
        <v>0</v>
      </c>
      <c r="U40" s="37">
        <f>IF(Q40="PS",I40-P40,0)</f>
        <v>0</v>
      </c>
      <c r="V40" s="37">
        <f>IF(Q40="MP",H40,0)</f>
        <v>0</v>
      </c>
      <c r="W40" s="37">
        <f>IF(Q40="MP",I40-P40,0)</f>
        <v>0</v>
      </c>
      <c r="X40" s="37">
        <f>IF(Q40="OM",H40,0)</f>
        <v>0</v>
      </c>
      <c r="Y40" s="27"/>
      <c r="AI40" s="37">
        <f>SUM(Z41:Z41)</f>
        <v>0</v>
      </c>
      <c r="AJ40" s="37">
        <f>SUM(AA41:AA41)</f>
        <v>0</v>
      </c>
      <c r="AK40" s="37">
        <f>SUM(AB41:AB41)</f>
        <v>0</v>
      </c>
    </row>
    <row r="41" spans="1:43" x14ac:dyDescent="0.2">
      <c r="A41" s="4" t="s">
        <v>20</v>
      </c>
      <c r="B41" s="4"/>
      <c r="C41" s="4" t="s">
        <v>64</v>
      </c>
      <c r="D41" s="4" t="s">
        <v>124</v>
      </c>
      <c r="E41" s="4" t="s">
        <v>173</v>
      </c>
      <c r="F41" s="19">
        <v>60</v>
      </c>
      <c r="G41" s="68">
        <v>0</v>
      </c>
      <c r="H41" s="19">
        <f>ROUND(F41*AE41,2)</f>
        <v>0</v>
      </c>
      <c r="I41" s="19">
        <f>J41-H41</f>
        <v>0</v>
      </c>
      <c r="J41" s="19">
        <f>ROUND(F41*G41,2)</f>
        <v>0</v>
      </c>
      <c r="K41" s="19">
        <v>3.0000000000000001E-5</v>
      </c>
      <c r="L41" s="19">
        <f>F41*K41</f>
        <v>1.8E-3</v>
      </c>
      <c r="M41" s="30" t="s">
        <v>192</v>
      </c>
      <c r="N41" s="30" t="s">
        <v>7</v>
      </c>
      <c r="O41" s="19">
        <f>IF(N41="5",I41,0)</f>
        <v>0</v>
      </c>
      <c r="Z41" s="19">
        <f>IF(AD41=0,J41,0)</f>
        <v>0</v>
      </c>
      <c r="AA41" s="19">
        <f>IF(AD41=15,J41,0)</f>
        <v>0</v>
      </c>
      <c r="AB41" s="19">
        <f>IF(AD41=21,J41,0)</f>
        <v>0</v>
      </c>
      <c r="AD41" s="34">
        <v>21</v>
      </c>
      <c r="AE41" s="34">
        <f>G41*0.0942233632862644</f>
        <v>0</v>
      </c>
      <c r="AF41" s="34">
        <f>G41*(1-0.0942233632862644)</f>
        <v>0</v>
      </c>
      <c r="AM41" s="34">
        <f>F41*AE41</f>
        <v>0</v>
      </c>
      <c r="AN41" s="34">
        <f>F41*AF41</f>
        <v>0</v>
      </c>
      <c r="AO41" s="35" t="s">
        <v>209</v>
      </c>
      <c r="AP41" s="35" t="s">
        <v>219</v>
      </c>
      <c r="AQ41" s="27" t="s">
        <v>224</v>
      </c>
    </row>
    <row r="42" spans="1:43" x14ac:dyDescent="0.2">
      <c r="C42" s="14" t="s">
        <v>50</v>
      </c>
      <c r="D42" s="73" t="s">
        <v>125</v>
      </c>
      <c r="E42" s="74"/>
      <c r="F42" s="74"/>
      <c r="G42" s="74"/>
      <c r="H42" s="74"/>
      <c r="I42" s="74"/>
      <c r="J42" s="74"/>
      <c r="K42" s="74"/>
      <c r="L42" s="74"/>
      <c r="M42" s="74"/>
    </row>
    <row r="43" spans="1:43" x14ac:dyDescent="0.2">
      <c r="A43" s="5"/>
      <c r="B43" s="13"/>
      <c r="C43" s="13" t="s">
        <v>65</v>
      </c>
      <c r="D43" s="81" t="s">
        <v>126</v>
      </c>
      <c r="E43" s="82"/>
      <c r="F43" s="82"/>
      <c r="G43" s="82"/>
      <c r="H43" s="37">
        <f>SUM(H44:H46)</f>
        <v>0</v>
      </c>
      <c r="I43" s="37">
        <f>SUM(I44:I46)</f>
        <v>0</v>
      </c>
      <c r="J43" s="37">
        <f>H43+I43</f>
        <v>0</v>
      </c>
      <c r="K43" s="27"/>
      <c r="L43" s="37">
        <f>SUM(L44:L46)</f>
        <v>0.12570000000000001</v>
      </c>
      <c r="M43" s="27"/>
      <c r="P43" s="37">
        <f>IF(Q43="PR",J43,SUM(O44:O46))</f>
        <v>0</v>
      </c>
      <c r="Q43" s="27" t="s">
        <v>197</v>
      </c>
      <c r="R43" s="37">
        <f>IF(Q43="HS",H43,0)</f>
        <v>0</v>
      </c>
      <c r="S43" s="37">
        <f>IF(Q43="HS",I43-P43,0)</f>
        <v>0</v>
      </c>
      <c r="T43" s="37">
        <f>IF(Q43="PS",H43,0)</f>
        <v>0</v>
      </c>
      <c r="U43" s="37">
        <f>IF(Q43="PS",I43-P43,0)</f>
        <v>0</v>
      </c>
      <c r="V43" s="37">
        <f>IF(Q43="MP",H43,0)</f>
        <v>0</v>
      </c>
      <c r="W43" s="37">
        <f>IF(Q43="MP",I43-P43,0)</f>
        <v>0</v>
      </c>
      <c r="X43" s="37">
        <f>IF(Q43="OM",H43,0)</f>
        <v>0</v>
      </c>
      <c r="Y43" s="27"/>
      <c r="AI43" s="37">
        <f>SUM(Z44:Z46)</f>
        <v>0</v>
      </c>
      <c r="AJ43" s="37">
        <f>SUM(AA44:AA46)</f>
        <v>0</v>
      </c>
      <c r="AK43" s="37">
        <f>SUM(AB44:AB46)</f>
        <v>0</v>
      </c>
    </row>
    <row r="44" spans="1:43" x14ac:dyDescent="0.2">
      <c r="A44" s="4" t="s">
        <v>21</v>
      </c>
      <c r="B44" s="4"/>
      <c r="C44" s="4" t="s">
        <v>66</v>
      </c>
      <c r="D44" s="4" t="s">
        <v>127</v>
      </c>
      <c r="E44" s="4" t="s">
        <v>173</v>
      </c>
      <c r="F44" s="19">
        <v>30</v>
      </c>
      <c r="G44" s="68">
        <v>0</v>
      </c>
      <c r="H44" s="19">
        <f>ROUND(F44*AE44,2)</f>
        <v>0</v>
      </c>
      <c r="I44" s="19">
        <f>J44-H44</f>
        <v>0</v>
      </c>
      <c r="J44" s="19">
        <f>ROUND(F44*G44,2)</f>
        <v>0</v>
      </c>
      <c r="K44" s="19">
        <v>2.8400000000000001E-3</v>
      </c>
      <c r="L44" s="19">
        <f>F44*K44</f>
        <v>8.5199999999999998E-2</v>
      </c>
      <c r="M44" s="30" t="s">
        <v>192</v>
      </c>
      <c r="N44" s="30" t="s">
        <v>7</v>
      </c>
      <c r="O44" s="19">
        <f>IF(N44="5",I44,0)</f>
        <v>0</v>
      </c>
      <c r="Z44" s="19">
        <f>IF(AD44=0,J44,0)</f>
        <v>0</v>
      </c>
      <c r="AA44" s="19">
        <f>IF(AD44=15,J44,0)</f>
        <v>0</v>
      </c>
      <c r="AB44" s="19">
        <f>IF(AD44=21,J44,0)</f>
        <v>0</v>
      </c>
      <c r="AD44" s="34">
        <v>21</v>
      </c>
      <c r="AE44" s="34">
        <f>G44*0.326560364464692</f>
        <v>0</v>
      </c>
      <c r="AF44" s="34">
        <f>G44*(1-0.326560364464692)</f>
        <v>0</v>
      </c>
      <c r="AM44" s="34">
        <f>F44*AE44</f>
        <v>0</v>
      </c>
      <c r="AN44" s="34">
        <f>F44*AF44</f>
        <v>0</v>
      </c>
      <c r="AO44" s="35" t="s">
        <v>210</v>
      </c>
      <c r="AP44" s="35" t="s">
        <v>220</v>
      </c>
      <c r="AQ44" s="27" t="s">
        <v>224</v>
      </c>
    </row>
    <row r="45" spans="1:43" x14ac:dyDescent="0.2">
      <c r="A45" s="4" t="s">
        <v>22</v>
      </c>
      <c r="B45" s="4"/>
      <c r="C45" s="4" t="s">
        <v>67</v>
      </c>
      <c r="D45" s="4" t="s">
        <v>128</v>
      </c>
      <c r="E45" s="4" t="s">
        <v>173</v>
      </c>
      <c r="F45" s="19">
        <v>30</v>
      </c>
      <c r="G45" s="68">
        <v>0</v>
      </c>
      <c r="H45" s="19">
        <f>ROUND(F45*AE45,2)</f>
        <v>0</v>
      </c>
      <c r="I45" s="19">
        <f>J45-H45</f>
        <v>0</v>
      </c>
      <c r="J45" s="19">
        <f>ROUND(F45*G45,2)</f>
        <v>0</v>
      </c>
      <c r="K45" s="19">
        <v>1.3500000000000001E-3</v>
      </c>
      <c r="L45" s="19">
        <f>F45*K45</f>
        <v>4.0500000000000001E-2</v>
      </c>
      <c r="M45" s="30" t="s">
        <v>192</v>
      </c>
      <c r="N45" s="30" t="s">
        <v>7</v>
      </c>
      <c r="O45" s="19">
        <f>IF(N45="5",I45,0)</f>
        <v>0</v>
      </c>
      <c r="Z45" s="19">
        <f>IF(AD45=0,J45,0)</f>
        <v>0</v>
      </c>
      <c r="AA45" s="19">
        <f>IF(AD45=15,J45,0)</f>
        <v>0</v>
      </c>
      <c r="AB45" s="19">
        <f>IF(AD45=21,J45,0)</f>
        <v>0</v>
      </c>
      <c r="AD45" s="34">
        <v>21</v>
      </c>
      <c r="AE45" s="34">
        <f>G45*0</f>
        <v>0</v>
      </c>
      <c r="AF45" s="34">
        <f>G45*(1-0)</f>
        <v>0</v>
      </c>
      <c r="AM45" s="34">
        <f>F45*AE45</f>
        <v>0</v>
      </c>
      <c r="AN45" s="34">
        <f>F45*AF45</f>
        <v>0</v>
      </c>
      <c r="AO45" s="35" t="s">
        <v>210</v>
      </c>
      <c r="AP45" s="35" t="s">
        <v>220</v>
      </c>
      <c r="AQ45" s="27" t="s">
        <v>224</v>
      </c>
    </row>
    <row r="46" spans="1:43" x14ac:dyDescent="0.2">
      <c r="A46" s="4" t="s">
        <v>23</v>
      </c>
      <c r="B46" s="4"/>
      <c r="C46" s="4" t="s">
        <v>68</v>
      </c>
      <c r="D46" s="4" t="s">
        <v>129</v>
      </c>
      <c r="E46" s="4" t="s">
        <v>175</v>
      </c>
      <c r="F46" s="19">
        <v>4.0500000000000001E-2</v>
      </c>
      <c r="G46" s="68">
        <v>0</v>
      </c>
      <c r="H46" s="19">
        <f>ROUND(F46*AE46,2)</f>
        <v>0</v>
      </c>
      <c r="I46" s="19">
        <f>J46-H46</f>
        <v>0</v>
      </c>
      <c r="J46" s="19">
        <f>ROUND(F46*G46,2)</f>
        <v>0</v>
      </c>
      <c r="K46" s="19">
        <v>0</v>
      </c>
      <c r="L46" s="19">
        <f>F46*K46</f>
        <v>0</v>
      </c>
      <c r="M46" s="30" t="s">
        <v>192</v>
      </c>
      <c r="N46" s="30" t="s">
        <v>11</v>
      </c>
      <c r="O46" s="19">
        <f>IF(N46="5",I46,0)</f>
        <v>0</v>
      </c>
      <c r="Z46" s="19">
        <f>IF(AD46=0,J46,0)</f>
        <v>0</v>
      </c>
      <c r="AA46" s="19">
        <f>IF(AD46=15,J46,0)</f>
        <v>0</v>
      </c>
      <c r="AB46" s="19">
        <f>IF(AD46=21,J46,0)</f>
        <v>0</v>
      </c>
      <c r="AD46" s="34">
        <v>21</v>
      </c>
      <c r="AE46" s="34">
        <f>G46*0</f>
        <v>0</v>
      </c>
      <c r="AF46" s="34">
        <f>G46*(1-0)</f>
        <v>0</v>
      </c>
      <c r="AM46" s="34">
        <f>F46*AE46</f>
        <v>0</v>
      </c>
      <c r="AN46" s="34">
        <f>F46*AF46</f>
        <v>0</v>
      </c>
      <c r="AO46" s="35" t="s">
        <v>210</v>
      </c>
      <c r="AP46" s="35" t="s">
        <v>220</v>
      </c>
      <c r="AQ46" s="27" t="s">
        <v>224</v>
      </c>
    </row>
    <row r="47" spans="1:43" x14ac:dyDescent="0.2">
      <c r="C47" s="14" t="s">
        <v>50</v>
      </c>
      <c r="D47" s="73" t="s">
        <v>130</v>
      </c>
      <c r="E47" s="74"/>
      <c r="F47" s="74"/>
      <c r="G47" s="74"/>
      <c r="H47" s="74"/>
      <c r="I47" s="74"/>
      <c r="J47" s="74"/>
      <c r="K47" s="74"/>
      <c r="L47" s="74"/>
      <c r="M47" s="74"/>
    </row>
    <row r="48" spans="1:43" x14ac:dyDescent="0.2">
      <c r="A48" s="5"/>
      <c r="B48" s="13"/>
      <c r="C48" s="13" t="s">
        <v>69</v>
      </c>
      <c r="D48" s="81" t="s">
        <v>131</v>
      </c>
      <c r="E48" s="82"/>
      <c r="F48" s="82"/>
      <c r="G48" s="82"/>
      <c r="H48" s="37">
        <f>SUM(H49:H51)</f>
        <v>0</v>
      </c>
      <c r="I48" s="37">
        <f>SUM(I49:I51)</f>
        <v>0</v>
      </c>
      <c r="J48" s="37">
        <f>H48+I48</f>
        <v>0</v>
      </c>
      <c r="K48" s="27"/>
      <c r="L48" s="37">
        <f>SUM(L49:L51)</f>
        <v>3.5554999999999996E-2</v>
      </c>
      <c r="M48" s="27"/>
      <c r="P48" s="37">
        <f>IF(Q48="PR",J48,SUM(O49:O51))</f>
        <v>0</v>
      </c>
      <c r="Q48" s="27" t="s">
        <v>197</v>
      </c>
      <c r="R48" s="37">
        <f>IF(Q48="HS",H48,0)</f>
        <v>0</v>
      </c>
      <c r="S48" s="37">
        <f>IF(Q48="HS",I48-P48,0)</f>
        <v>0</v>
      </c>
      <c r="T48" s="37">
        <f>IF(Q48="PS",H48,0)</f>
        <v>0</v>
      </c>
      <c r="U48" s="37">
        <f>IF(Q48="PS",I48-P48,0)</f>
        <v>0</v>
      </c>
      <c r="V48" s="37">
        <f>IF(Q48="MP",H48,0)</f>
        <v>0</v>
      </c>
      <c r="W48" s="37">
        <f>IF(Q48="MP",I48-P48,0)</f>
        <v>0</v>
      </c>
      <c r="X48" s="37">
        <f>IF(Q48="OM",H48,0)</f>
        <v>0</v>
      </c>
      <c r="Y48" s="27"/>
      <c r="AI48" s="37">
        <f>SUM(Z49:Z51)</f>
        <v>0</v>
      </c>
      <c r="AJ48" s="37">
        <f>SUM(AA49:AA51)</f>
        <v>0</v>
      </c>
      <c r="AK48" s="37">
        <f>SUM(AB49:AB51)</f>
        <v>0</v>
      </c>
    </row>
    <row r="49" spans="1:43" x14ac:dyDescent="0.2">
      <c r="A49" s="4" t="s">
        <v>24</v>
      </c>
      <c r="B49" s="4"/>
      <c r="C49" s="4" t="s">
        <v>70</v>
      </c>
      <c r="D49" s="4" t="s">
        <v>132</v>
      </c>
      <c r="E49" s="4" t="s">
        <v>172</v>
      </c>
      <c r="F49" s="19">
        <v>11.5</v>
      </c>
      <c r="G49" s="68">
        <v>0</v>
      </c>
      <c r="H49" s="19">
        <f>ROUND(F49*AE49,2)</f>
        <v>0</v>
      </c>
      <c r="I49" s="19">
        <f>J49-H49</f>
        <v>0</v>
      </c>
      <c r="J49" s="19">
        <f>ROUND(F49*G49,2)</f>
        <v>0</v>
      </c>
      <c r="K49" s="19">
        <v>1.7000000000000001E-4</v>
      </c>
      <c r="L49" s="19">
        <f>F49*K49</f>
        <v>1.9550000000000001E-3</v>
      </c>
      <c r="M49" s="30" t="s">
        <v>192</v>
      </c>
      <c r="N49" s="30" t="s">
        <v>7</v>
      </c>
      <c r="O49" s="19">
        <f>IF(N49="5",I49,0)</f>
        <v>0</v>
      </c>
      <c r="Z49" s="19">
        <f>IF(AD49=0,J49,0)</f>
        <v>0</v>
      </c>
      <c r="AA49" s="19">
        <f>IF(AD49=15,J49,0)</f>
        <v>0</v>
      </c>
      <c r="AB49" s="19">
        <f>IF(AD49=21,J49,0)</f>
        <v>0</v>
      </c>
      <c r="AD49" s="34">
        <v>21</v>
      </c>
      <c r="AE49" s="34">
        <f>G49*0.013438412509027</f>
        <v>0</v>
      </c>
      <c r="AF49" s="34">
        <f>G49*(1-0.013438412509027)</f>
        <v>0</v>
      </c>
      <c r="AM49" s="34">
        <f>F49*AE49</f>
        <v>0</v>
      </c>
      <c r="AN49" s="34">
        <f>F49*AF49</f>
        <v>0</v>
      </c>
      <c r="AO49" s="35" t="s">
        <v>211</v>
      </c>
      <c r="AP49" s="35" t="s">
        <v>220</v>
      </c>
      <c r="AQ49" s="27" t="s">
        <v>224</v>
      </c>
    </row>
    <row r="50" spans="1:43" ht="25.7" customHeight="1" x14ac:dyDescent="0.2">
      <c r="C50" s="14" t="s">
        <v>50</v>
      </c>
      <c r="D50" s="73" t="s">
        <v>133</v>
      </c>
      <c r="E50" s="74"/>
      <c r="F50" s="74"/>
      <c r="G50" s="74"/>
      <c r="H50" s="74"/>
      <c r="I50" s="74"/>
      <c r="J50" s="74"/>
      <c r="K50" s="74"/>
      <c r="L50" s="74"/>
      <c r="M50" s="74"/>
    </row>
    <row r="51" spans="1:43" x14ac:dyDescent="0.2">
      <c r="A51" s="4" t="s">
        <v>25</v>
      </c>
      <c r="B51" s="4"/>
      <c r="C51" s="4" t="s">
        <v>71</v>
      </c>
      <c r="D51" s="4" t="s">
        <v>134</v>
      </c>
      <c r="E51" s="4" t="s">
        <v>173</v>
      </c>
      <c r="F51" s="19">
        <v>120</v>
      </c>
      <c r="G51" s="68">
        <v>0</v>
      </c>
      <c r="H51" s="19">
        <f>ROUND(F51*AE51,2)</f>
        <v>0</v>
      </c>
      <c r="I51" s="19">
        <f>J51-H51</f>
        <v>0</v>
      </c>
      <c r="J51" s="19">
        <f>ROUND(F51*G51,2)</f>
        <v>0</v>
      </c>
      <c r="K51" s="19">
        <v>2.7999999999999998E-4</v>
      </c>
      <c r="L51" s="19">
        <f>F51*K51</f>
        <v>3.3599999999999998E-2</v>
      </c>
      <c r="M51" s="30" t="s">
        <v>192</v>
      </c>
      <c r="N51" s="30" t="s">
        <v>7</v>
      </c>
      <c r="O51" s="19">
        <f>IF(N51="5",I51,0)</f>
        <v>0</v>
      </c>
      <c r="Z51" s="19">
        <f>IF(AD51=0,J51,0)</f>
        <v>0</v>
      </c>
      <c r="AA51" s="19">
        <f>IF(AD51=15,J51,0)</f>
        <v>0</v>
      </c>
      <c r="AB51" s="19">
        <f>IF(AD51=21,J51,0)</f>
        <v>0</v>
      </c>
      <c r="AD51" s="34">
        <v>21</v>
      </c>
      <c r="AE51" s="34">
        <f>G51*0.202958327407197</f>
        <v>0</v>
      </c>
      <c r="AF51" s="34">
        <f>G51*(1-0.202958327407197)</f>
        <v>0</v>
      </c>
      <c r="AM51" s="34">
        <f>F51*AE51</f>
        <v>0</v>
      </c>
      <c r="AN51" s="34">
        <f>F51*AF51</f>
        <v>0</v>
      </c>
      <c r="AO51" s="35" t="s">
        <v>211</v>
      </c>
      <c r="AP51" s="35" t="s">
        <v>220</v>
      </c>
      <c r="AQ51" s="27" t="s">
        <v>224</v>
      </c>
    </row>
    <row r="52" spans="1:43" x14ac:dyDescent="0.2">
      <c r="C52" s="14" t="s">
        <v>50</v>
      </c>
      <c r="D52" s="73" t="s">
        <v>135</v>
      </c>
      <c r="E52" s="74"/>
      <c r="F52" s="74"/>
      <c r="G52" s="74"/>
      <c r="H52" s="74"/>
      <c r="I52" s="74"/>
      <c r="J52" s="74"/>
      <c r="K52" s="74"/>
      <c r="L52" s="74"/>
      <c r="M52" s="74"/>
    </row>
    <row r="53" spans="1:43" x14ac:dyDescent="0.2">
      <c r="A53" s="5"/>
      <c r="B53" s="13"/>
      <c r="C53" s="13" t="s">
        <v>72</v>
      </c>
      <c r="D53" s="81" t="s">
        <v>136</v>
      </c>
      <c r="E53" s="82"/>
      <c r="F53" s="82"/>
      <c r="G53" s="82"/>
      <c r="H53" s="37">
        <f>SUM(H54:H56)</f>
        <v>0</v>
      </c>
      <c r="I53" s="37">
        <f>SUM(I54:I56)</f>
        <v>0</v>
      </c>
      <c r="J53" s="37">
        <f>H53+I53</f>
        <v>0</v>
      </c>
      <c r="K53" s="27"/>
      <c r="L53" s="37">
        <f>SUM(L54:L56)</f>
        <v>0.1512</v>
      </c>
      <c r="M53" s="27"/>
      <c r="P53" s="37">
        <f>IF(Q53="PR",J53,SUM(O54:O56))</f>
        <v>0</v>
      </c>
      <c r="Q53" s="27" t="s">
        <v>197</v>
      </c>
      <c r="R53" s="37">
        <f>IF(Q53="HS",H53,0)</f>
        <v>0</v>
      </c>
      <c r="S53" s="37">
        <f>IF(Q53="HS",I53-P53,0)</f>
        <v>0</v>
      </c>
      <c r="T53" s="37">
        <f>IF(Q53="PS",H53,0)</f>
        <v>0</v>
      </c>
      <c r="U53" s="37">
        <f>IF(Q53="PS",I53-P53,0)</f>
        <v>0</v>
      </c>
      <c r="V53" s="37">
        <f>IF(Q53="MP",H53,0)</f>
        <v>0</v>
      </c>
      <c r="W53" s="37">
        <f>IF(Q53="MP",I53-P53,0)</f>
        <v>0</v>
      </c>
      <c r="X53" s="37">
        <f>IF(Q53="OM",H53,0)</f>
        <v>0</v>
      </c>
      <c r="Y53" s="27"/>
      <c r="AI53" s="37">
        <f>SUM(Z54:Z56)</f>
        <v>0</v>
      </c>
      <c r="AJ53" s="37">
        <f>SUM(AA54:AA56)</f>
        <v>0</v>
      </c>
      <c r="AK53" s="37">
        <f>SUM(AB54:AB56)</f>
        <v>0</v>
      </c>
    </row>
    <row r="54" spans="1:43" x14ac:dyDescent="0.2">
      <c r="A54" s="4" t="s">
        <v>26</v>
      </c>
      <c r="B54" s="4"/>
      <c r="C54" s="4" t="s">
        <v>73</v>
      </c>
      <c r="D54" s="4" t="s">
        <v>137</v>
      </c>
      <c r="E54" s="4" t="s">
        <v>172</v>
      </c>
      <c r="F54" s="19">
        <v>210</v>
      </c>
      <c r="G54" s="68">
        <v>0</v>
      </c>
      <c r="H54" s="19">
        <f>ROUND(F54*AE54,2)</f>
        <v>0</v>
      </c>
      <c r="I54" s="19">
        <f>J54-H54</f>
        <v>0</v>
      </c>
      <c r="J54" s="19">
        <f>ROUND(F54*G54,2)</f>
        <v>0</v>
      </c>
      <c r="K54" s="19">
        <v>1E-4</v>
      </c>
      <c r="L54" s="19">
        <f>F54*K54</f>
        <v>2.1000000000000001E-2</v>
      </c>
      <c r="M54" s="30" t="s">
        <v>192</v>
      </c>
      <c r="N54" s="30" t="s">
        <v>7</v>
      </c>
      <c r="O54" s="19">
        <f>IF(N54="5",I54,0)</f>
        <v>0</v>
      </c>
      <c r="Z54" s="19">
        <f>IF(AD54=0,J54,0)</f>
        <v>0</v>
      </c>
      <c r="AA54" s="19">
        <f>IF(AD54=15,J54,0)</f>
        <v>0</v>
      </c>
      <c r="AB54" s="19">
        <f>IF(AD54=21,J54,0)</f>
        <v>0</v>
      </c>
      <c r="AD54" s="34">
        <v>21</v>
      </c>
      <c r="AE54" s="34">
        <f>G54*0.399023794996949</f>
        <v>0</v>
      </c>
      <c r="AF54" s="34">
        <f>G54*(1-0.399023794996949)</f>
        <v>0</v>
      </c>
      <c r="AM54" s="34">
        <f>F54*AE54</f>
        <v>0</v>
      </c>
      <c r="AN54" s="34">
        <f>F54*AF54</f>
        <v>0</v>
      </c>
      <c r="AO54" s="35" t="s">
        <v>212</v>
      </c>
      <c r="AP54" s="35" t="s">
        <v>221</v>
      </c>
      <c r="AQ54" s="27" t="s">
        <v>224</v>
      </c>
    </row>
    <row r="55" spans="1:43" x14ac:dyDescent="0.2">
      <c r="C55" s="14" t="s">
        <v>50</v>
      </c>
      <c r="D55" s="73" t="s">
        <v>138</v>
      </c>
      <c r="E55" s="74"/>
      <c r="F55" s="74"/>
      <c r="G55" s="74"/>
      <c r="H55" s="74"/>
      <c r="I55" s="74"/>
      <c r="J55" s="74"/>
      <c r="K55" s="74"/>
      <c r="L55" s="74"/>
      <c r="M55" s="74"/>
    </row>
    <row r="56" spans="1:43" x14ac:dyDescent="0.2">
      <c r="A56" s="4" t="s">
        <v>27</v>
      </c>
      <c r="B56" s="4"/>
      <c r="C56" s="4" t="s">
        <v>74</v>
      </c>
      <c r="D56" s="4" t="s">
        <v>139</v>
      </c>
      <c r="E56" s="4" t="s">
        <v>172</v>
      </c>
      <c r="F56" s="19">
        <v>420</v>
      </c>
      <c r="G56" s="68">
        <v>0</v>
      </c>
      <c r="H56" s="19">
        <f>ROUND(F56*AE56,2)</f>
        <v>0</v>
      </c>
      <c r="I56" s="19">
        <f>J56-H56</f>
        <v>0</v>
      </c>
      <c r="J56" s="19">
        <f>ROUND(F56*G56,2)</f>
        <v>0</v>
      </c>
      <c r="K56" s="19">
        <v>3.1E-4</v>
      </c>
      <c r="L56" s="19">
        <f>F56*K56</f>
        <v>0.13020000000000001</v>
      </c>
      <c r="M56" s="30" t="s">
        <v>192</v>
      </c>
      <c r="N56" s="30" t="s">
        <v>7</v>
      </c>
      <c r="O56" s="19">
        <f>IF(N56="5",I56,0)</f>
        <v>0</v>
      </c>
      <c r="Z56" s="19">
        <f>IF(AD56=0,J56,0)</f>
        <v>0</v>
      </c>
      <c r="AA56" s="19">
        <f>IF(AD56=15,J56,0)</f>
        <v>0</v>
      </c>
      <c r="AB56" s="19">
        <f>IF(AD56=21,J56,0)</f>
        <v>0</v>
      </c>
      <c r="AD56" s="34">
        <v>21</v>
      </c>
      <c r="AE56" s="34">
        <f>G56*0.21563981042654</f>
        <v>0</v>
      </c>
      <c r="AF56" s="34">
        <f>G56*(1-0.21563981042654)</f>
        <v>0</v>
      </c>
      <c r="AM56" s="34">
        <f>F56*AE56</f>
        <v>0</v>
      </c>
      <c r="AN56" s="34">
        <f>F56*AF56</f>
        <v>0</v>
      </c>
      <c r="AO56" s="35" t="s">
        <v>212</v>
      </c>
      <c r="AP56" s="35" t="s">
        <v>221</v>
      </c>
      <c r="AQ56" s="27" t="s">
        <v>224</v>
      </c>
    </row>
    <row r="57" spans="1:43" x14ac:dyDescent="0.2">
      <c r="C57" s="14" t="s">
        <v>50</v>
      </c>
      <c r="D57" s="73" t="s">
        <v>140</v>
      </c>
      <c r="E57" s="74"/>
      <c r="F57" s="74"/>
      <c r="G57" s="74"/>
      <c r="H57" s="74"/>
      <c r="I57" s="74"/>
      <c r="J57" s="74"/>
      <c r="K57" s="74"/>
      <c r="L57" s="74"/>
      <c r="M57" s="74"/>
    </row>
    <row r="58" spans="1:43" x14ac:dyDescent="0.2">
      <c r="A58" s="5"/>
      <c r="B58" s="13"/>
      <c r="C58" s="13" t="s">
        <v>75</v>
      </c>
      <c r="D58" s="81" t="s">
        <v>141</v>
      </c>
      <c r="E58" s="82"/>
      <c r="F58" s="82"/>
      <c r="G58" s="82"/>
      <c r="H58" s="37">
        <f>SUM(H59:H63)</f>
        <v>0</v>
      </c>
      <c r="I58" s="37">
        <f>SUM(I59:I63)</f>
        <v>0</v>
      </c>
      <c r="J58" s="37">
        <f>H58+I58</f>
        <v>0</v>
      </c>
      <c r="K58" s="27"/>
      <c r="L58" s="37">
        <f>SUM(L59:L63)</f>
        <v>5.7080700000000002</v>
      </c>
      <c r="M58" s="27"/>
      <c r="P58" s="37">
        <f>IF(Q58="PR",J58,SUM(O59:O63))</f>
        <v>0</v>
      </c>
      <c r="Q58" s="27" t="s">
        <v>197</v>
      </c>
      <c r="R58" s="37">
        <f>IF(Q58="HS",H58,0)</f>
        <v>0</v>
      </c>
      <c r="S58" s="37">
        <f>IF(Q58="HS",I58-P58,0)</f>
        <v>0</v>
      </c>
      <c r="T58" s="37">
        <f>IF(Q58="PS",H58,0)</f>
        <v>0</v>
      </c>
      <c r="U58" s="37">
        <f>IF(Q58="PS",I58-P58,0)</f>
        <v>0</v>
      </c>
      <c r="V58" s="37">
        <f>IF(Q58="MP",H58,0)</f>
        <v>0</v>
      </c>
      <c r="W58" s="37">
        <f>IF(Q58="MP",I58-P58,0)</f>
        <v>0</v>
      </c>
      <c r="X58" s="37">
        <f>IF(Q58="OM",H58,0)</f>
        <v>0</v>
      </c>
      <c r="Y58" s="27"/>
      <c r="AI58" s="37">
        <f>SUM(Z59:Z63)</f>
        <v>0</v>
      </c>
      <c r="AJ58" s="37">
        <f>SUM(AA59:AA63)</f>
        <v>0</v>
      </c>
      <c r="AK58" s="37">
        <f>SUM(AB59:AB63)</f>
        <v>0</v>
      </c>
    </row>
    <row r="59" spans="1:43" x14ac:dyDescent="0.2">
      <c r="A59" s="4" t="s">
        <v>28</v>
      </c>
      <c r="B59" s="4"/>
      <c r="C59" s="4" t="s">
        <v>76</v>
      </c>
      <c r="D59" s="4" t="s">
        <v>142</v>
      </c>
      <c r="E59" s="4" t="s">
        <v>172</v>
      </c>
      <c r="F59" s="19">
        <v>87.6</v>
      </c>
      <c r="G59" s="68">
        <v>0</v>
      </c>
      <c r="H59" s="19">
        <f>ROUND(F59*AE59,2)</f>
        <v>0</v>
      </c>
      <c r="I59" s="19">
        <f>J59-H59</f>
        <v>0</v>
      </c>
      <c r="J59" s="19">
        <f>ROUND(F59*G59,2)</f>
        <v>0</v>
      </c>
      <c r="K59" s="19">
        <v>4.3999999999999997E-2</v>
      </c>
      <c r="L59" s="19">
        <f>F59*K59</f>
        <v>3.8543999999999996</v>
      </c>
      <c r="M59" s="30" t="s">
        <v>192</v>
      </c>
      <c r="N59" s="30" t="s">
        <v>7</v>
      </c>
      <c r="O59" s="19">
        <f>IF(N59="5",I59,0)</f>
        <v>0</v>
      </c>
      <c r="Z59" s="19">
        <f>IF(AD59=0,J59,0)</f>
        <v>0</v>
      </c>
      <c r="AA59" s="19">
        <f>IF(AD59=15,J59,0)</f>
        <v>0</v>
      </c>
      <c r="AB59" s="19">
        <f>IF(AD59=21,J59,0)</f>
        <v>0</v>
      </c>
      <c r="AD59" s="34">
        <v>21</v>
      </c>
      <c r="AE59" s="34">
        <f>G59*0</f>
        <v>0</v>
      </c>
      <c r="AF59" s="34">
        <f>G59*(1-0)</f>
        <v>0</v>
      </c>
      <c r="AM59" s="34">
        <f>F59*AE59</f>
        <v>0</v>
      </c>
      <c r="AN59" s="34">
        <f>F59*AF59</f>
        <v>0</v>
      </c>
      <c r="AO59" s="35" t="s">
        <v>213</v>
      </c>
      <c r="AP59" s="35" t="s">
        <v>221</v>
      </c>
      <c r="AQ59" s="27" t="s">
        <v>224</v>
      </c>
    </row>
    <row r="60" spans="1:43" x14ac:dyDescent="0.2">
      <c r="A60" s="4" t="s">
        <v>29</v>
      </c>
      <c r="B60" s="4"/>
      <c r="C60" s="4" t="s">
        <v>68</v>
      </c>
      <c r="D60" s="4" t="s">
        <v>129</v>
      </c>
      <c r="E60" s="4" t="s">
        <v>175</v>
      </c>
      <c r="F60" s="19">
        <v>3.8544</v>
      </c>
      <c r="G60" s="68">
        <v>0</v>
      </c>
      <c r="H60" s="19">
        <f>ROUND(F60*AE60,2)</f>
        <v>0</v>
      </c>
      <c r="I60" s="19">
        <f>J60-H60</f>
        <v>0</v>
      </c>
      <c r="J60" s="19">
        <f>ROUND(F60*G60,2)</f>
        <v>0</v>
      </c>
      <c r="K60" s="19">
        <v>0</v>
      </c>
      <c r="L60" s="19">
        <f>F60*K60</f>
        <v>0</v>
      </c>
      <c r="M60" s="30" t="s">
        <v>192</v>
      </c>
      <c r="N60" s="30" t="s">
        <v>11</v>
      </c>
      <c r="O60" s="19">
        <f>IF(N60="5",I60,0)</f>
        <v>0</v>
      </c>
      <c r="Z60" s="19">
        <f>IF(AD60=0,J60,0)</f>
        <v>0</v>
      </c>
      <c r="AA60" s="19">
        <f>IF(AD60=15,J60,0)</f>
        <v>0</v>
      </c>
      <c r="AB60" s="19">
        <f>IF(AD60=21,J60,0)</f>
        <v>0</v>
      </c>
      <c r="AD60" s="34">
        <v>21</v>
      </c>
      <c r="AE60" s="34">
        <f>G60*0</f>
        <v>0</v>
      </c>
      <c r="AF60" s="34">
        <f>G60*(1-0)</f>
        <v>0</v>
      </c>
      <c r="AM60" s="34">
        <f>F60*AE60</f>
        <v>0</v>
      </c>
      <c r="AN60" s="34">
        <f>F60*AF60</f>
        <v>0</v>
      </c>
      <c r="AO60" s="35" t="s">
        <v>213</v>
      </c>
      <c r="AP60" s="35" t="s">
        <v>221</v>
      </c>
      <c r="AQ60" s="27" t="s">
        <v>224</v>
      </c>
    </row>
    <row r="61" spans="1:43" x14ac:dyDescent="0.2">
      <c r="C61" s="14" t="s">
        <v>50</v>
      </c>
      <c r="D61" s="73" t="s">
        <v>130</v>
      </c>
      <c r="E61" s="74"/>
      <c r="F61" s="74"/>
      <c r="G61" s="74"/>
      <c r="H61" s="74"/>
      <c r="I61" s="74"/>
      <c r="J61" s="74"/>
      <c r="K61" s="74"/>
      <c r="L61" s="74"/>
      <c r="M61" s="74"/>
    </row>
    <row r="62" spans="1:43" x14ac:dyDescent="0.2">
      <c r="A62" s="4" t="s">
        <v>30</v>
      </c>
      <c r="B62" s="4"/>
      <c r="C62" s="4" t="s">
        <v>77</v>
      </c>
      <c r="D62" s="4" t="s">
        <v>143</v>
      </c>
      <c r="E62" s="4" t="s">
        <v>172</v>
      </c>
      <c r="F62" s="19">
        <v>87.6</v>
      </c>
      <c r="G62" s="68">
        <v>0</v>
      </c>
      <c r="H62" s="19">
        <f>ROUND(F62*AE62,2)</f>
        <v>0</v>
      </c>
      <c r="I62" s="19">
        <f>J62-H62</f>
        <v>0</v>
      </c>
      <c r="J62" s="19">
        <f>ROUND(F62*G62,2)</f>
        <v>0</v>
      </c>
      <c r="K62" s="19">
        <v>0</v>
      </c>
      <c r="L62" s="19">
        <f>F62*K62</f>
        <v>0</v>
      </c>
      <c r="M62" s="30" t="s">
        <v>192</v>
      </c>
      <c r="N62" s="30" t="s">
        <v>7</v>
      </c>
      <c r="O62" s="19">
        <f>IF(N62="5",I62,0)</f>
        <v>0</v>
      </c>
      <c r="Z62" s="19">
        <f>IF(AD62=0,J62,0)</f>
        <v>0</v>
      </c>
      <c r="AA62" s="19">
        <f>IF(AD62=15,J62,0)</f>
        <v>0</v>
      </c>
      <c r="AB62" s="19">
        <f>IF(AD62=21,J62,0)</f>
        <v>0</v>
      </c>
      <c r="AD62" s="34">
        <v>21</v>
      </c>
      <c r="AE62" s="34">
        <f>G62*0</f>
        <v>0</v>
      </c>
      <c r="AF62" s="34">
        <f>G62*(1-0)</f>
        <v>0</v>
      </c>
      <c r="AM62" s="34">
        <f>F62*AE62</f>
        <v>0</v>
      </c>
      <c r="AN62" s="34">
        <f>F62*AF62</f>
        <v>0</v>
      </c>
      <c r="AO62" s="35" t="s">
        <v>213</v>
      </c>
      <c r="AP62" s="35" t="s">
        <v>221</v>
      </c>
      <c r="AQ62" s="27" t="s">
        <v>224</v>
      </c>
    </row>
    <row r="63" spans="1:43" x14ac:dyDescent="0.2">
      <c r="A63" s="4" t="s">
        <v>31</v>
      </c>
      <c r="B63" s="4"/>
      <c r="C63" s="4" t="s">
        <v>78</v>
      </c>
      <c r="D63" s="4" t="s">
        <v>144</v>
      </c>
      <c r="E63" s="4" t="s">
        <v>172</v>
      </c>
      <c r="F63" s="19">
        <v>58.2</v>
      </c>
      <c r="G63" s="68">
        <v>0</v>
      </c>
      <c r="H63" s="19">
        <f>ROUND(F63*AE63,2)</f>
        <v>0</v>
      </c>
      <c r="I63" s="19">
        <f>J63-H63</f>
        <v>0</v>
      </c>
      <c r="J63" s="19">
        <f>ROUND(F63*G63,2)</f>
        <v>0</v>
      </c>
      <c r="K63" s="19">
        <v>3.1850000000000003E-2</v>
      </c>
      <c r="L63" s="19">
        <f>F63*K63</f>
        <v>1.8536700000000004</v>
      </c>
      <c r="M63" s="30" t="s">
        <v>192</v>
      </c>
      <c r="N63" s="30" t="s">
        <v>7</v>
      </c>
      <c r="O63" s="19">
        <f>IF(N63="5",I63,0)</f>
        <v>0</v>
      </c>
      <c r="Z63" s="19">
        <f>IF(AD63=0,J63,0)</f>
        <v>0</v>
      </c>
      <c r="AA63" s="19">
        <f>IF(AD63=15,J63,0)</f>
        <v>0</v>
      </c>
      <c r="AB63" s="19">
        <f>IF(AD63=21,J63,0)</f>
        <v>0</v>
      </c>
      <c r="AD63" s="34">
        <v>21</v>
      </c>
      <c r="AE63" s="34">
        <f>G63*0.895680600214362</f>
        <v>0</v>
      </c>
      <c r="AF63" s="34">
        <f>G63*(1-0.895680600214362)</f>
        <v>0</v>
      </c>
      <c r="AM63" s="34">
        <f>F63*AE63</f>
        <v>0</v>
      </c>
      <c r="AN63" s="34">
        <f>F63*AF63</f>
        <v>0</v>
      </c>
      <c r="AO63" s="35" t="s">
        <v>213</v>
      </c>
      <c r="AP63" s="35" t="s">
        <v>221</v>
      </c>
      <c r="AQ63" s="27" t="s">
        <v>224</v>
      </c>
    </row>
    <row r="64" spans="1:43" x14ac:dyDescent="0.2">
      <c r="A64" s="5"/>
      <c r="B64" s="13"/>
      <c r="C64" s="13" t="s">
        <v>79</v>
      </c>
      <c r="D64" s="81" t="s">
        <v>145</v>
      </c>
      <c r="E64" s="82"/>
      <c r="F64" s="82"/>
      <c r="G64" s="82"/>
      <c r="H64" s="37">
        <f>SUM(H65:H70)</f>
        <v>0</v>
      </c>
      <c r="I64" s="37">
        <f>SUM(I65:I70)</f>
        <v>0</v>
      </c>
      <c r="J64" s="37">
        <f>H64+I64</f>
        <v>0</v>
      </c>
      <c r="K64" s="27"/>
      <c r="L64" s="37">
        <f>SUM(L65:L70)</f>
        <v>8.6084999999999994</v>
      </c>
      <c r="M64" s="27"/>
      <c r="P64" s="37">
        <f>IF(Q64="PR",J64,SUM(O65:O70))</f>
        <v>0</v>
      </c>
      <c r="Q64" s="27" t="s">
        <v>196</v>
      </c>
      <c r="R64" s="37">
        <f>IF(Q64="HS",H64,0)</f>
        <v>0</v>
      </c>
      <c r="S64" s="37">
        <f>IF(Q64="HS",I64-P64,0)</f>
        <v>0</v>
      </c>
      <c r="T64" s="37">
        <f>IF(Q64="PS",H64,0)</f>
        <v>0</v>
      </c>
      <c r="U64" s="37">
        <f>IF(Q64="PS",I64-P64,0)</f>
        <v>0</v>
      </c>
      <c r="V64" s="37">
        <f>IF(Q64="MP",H64,0)</f>
        <v>0</v>
      </c>
      <c r="W64" s="37">
        <f>IF(Q64="MP",I64-P64,0)</f>
        <v>0</v>
      </c>
      <c r="X64" s="37">
        <f>IF(Q64="OM",H64,0)</f>
        <v>0</v>
      </c>
      <c r="Y64" s="27"/>
      <c r="AI64" s="37">
        <f>SUM(Z65:Z70)</f>
        <v>0</v>
      </c>
      <c r="AJ64" s="37">
        <f>SUM(AA65:AA70)</f>
        <v>0</v>
      </c>
      <c r="AK64" s="37">
        <f>SUM(AB65:AB70)</f>
        <v>0</v>
      </c>
    </row>
    <row r="65" spans="1:43" x14ac:dyDescent="0.2">
      <c r="A65" s="4" t="s">
        <v>32</v>
      </c>
      <c r="B65" s="4"/>
      <c r="C65" s="4" t="s">
        <v>80</v>
      </c>
      <c r="D65" s="4" t="s">
        <v>146</v>
      </c>
      <c r="E65" s="4" t="s">
        <v>172</v>
      </c>
      <c r="F65" s="19">
        <v>410</v>
      </c>
      <c r="G65" s="68">
        <v>0</v>
      </c>
      <c r="H65" s="19">
        <f t="shared" ref="H65:H70" si="0">ROUND(F65*AE65,2)</f>
        <v>0</v>
      </c>
      <c r="I65" s="19">
        <f t="shared" ref="I65:I70" si="1">J65-H65</f>
        <v>0</v>
      </c>
      <c r="J65" s="19">
        <f t="shared" ref="J65:J70" si="2">ROUND(F65*G65,2)</f>
        <v>0</v>
      </c>
      <c r="K65" s="19">
        <v>1.8380000000000001E-2</v>
      </c>
      <c r="L65" s="19">
        <f t="shared" ref="L65:L70" si="3">F65*K65</f>
        <v>7.5358000000000001</v>
      </c>
      <c r="M65" s="30" t="s">
        <v>192</v>
      </c>
      <c r="N65" s="30" t="s">
        <v>7</v>
      </c>
      <c r="O65" s="19">
        <f t="shared" ref="O65:O70" si="4">IF(N65="5",I65,0)</f>
        <v>0</v>
      </c>
      <c r="Z65" s="19">
        <f t="shared" ref="Z65:Z70" si="5">IF(AD65=0,J65,0)</f>
        <v>0</v>
      </c>
      <c r="AA65" s="19">
        <f t="shared" ref="AA65:AA70" si="6">IF(AD65=15,J65,0)</f>
        <v>0</v>
      </c>
      <c r="AB65" s="19">
        <f t="shared" ref="AB65:AB70" si="7">IF(AD65=21,J65,0)</f>
        <v>0</v>
      </c>
      <c r="AD65" s="34">
        <v>21</v>
      </c>
      <c r="AE65" s="34">
        <f>G65*0.000193050193050193</f>
        <v>0</v>
      </c>
      <c r="AF65" s="34">
        <f>G65*(1-0.000193050193050193)</f>
        <v>0</v>
      </c>
      <c r="AM65" s="34">
        <f t="shared" ref="AM65:AM70" si="8">F65*AE65</f>
        <v>0</v>
      </c>
      <c r="AN65" s="34">
        <f t="shared" ref="AN65:AN70" si="9">F65*AF65</f>
        <v>0</v>
      </c>
      <c r="AO65" s="35" t="s">
        <v>214</v>
      </c>
      <c r="AP65" s="35" t="s">
        <v>222</v>
      </c>
      <c r="AQ65" s="27" t="s">
        <v>224</v>
      </c>
    </row>
    <row r="66" spans="1:43" x14ac:dyDescent="0.2">
      <c r="A66" s="4" t="s">
        <v>33</v>
      </c>
      <c r="B66" s="4"/>
      <c r="C66" s="4" t="s">
        <v>81</v>
      </c>
      <c r="D66" s="4" t="s">
        <v>147</v>
      </c>
      <c r="E66" s="4" t="s">
        <v>172</v>
      </c>
      <c r="F66" s="19">
        <v>410</v>
      </c>
      <c r="G66" s="68">
        <v>0</v>
      </c>
      <c r="H66" s="19">
        <f t="shared" si="0"/>
        <v>0</v>
      </c>
      <c r="I66" s="19">
        <f t="shared" si="1"/>
        <v>0</v>
      </c>
      <c r="J66" s="19">
        <f t="shared" si="2"/>
        <v>0</v>
      </c>
      <c r="K66" s="19">
        <v>9.5E-4</v>
      </c>
      <c r="L66" s="19">
        <f t="shared" si="3"/>
        <v>0.38950000000000001</v>
      </c>
      <c r="M66" s="30" t="s">
        <v>192</v>
      </c>
      <c r="N66" s="30" t="s">
        <v>7</v>
      </c>
      <c r="O66" s="19">
        <f t="shared" si="4"/>
        <v>0</v>
      </c>
      <c r="Z66" s="19">
        <f t="shared" si="5"/>
        <v>0</v>
      </c>
      <c r="AA66" s="19">
        <f t="shared" si="6"/>
        <v>0</v>
      </c>
      <c r="AB66" s="19">
        <f t="shared" si="7"/>
        <v>0</v>
      </c>
      <c r="AD66" s="34">
        <v>21</v>
      </c>
      <c r="AE66" s="34">
        <f>G66*0.943093922651934</f>
        <v>0</v>
      </c>
      <c r="AF66" s="34">
        <f>G66*(1-0.943093922651934)</f>
        <v>0</v>
      </c>
      <c r="AM66" s="34">
        <f t="shared" si="8"/>
        <v>0</v>
      </c>
      <c r="AN66" s="34">
        <f t="shared" si="9"/>
        <v>0</v>
      </c>
      <c r="AO66" s="35" t="s">
        <v>214</v>
      </c>
      <c r="AP66" s="35" t="s">
        <v>222</v>
      </c>
      <c r="AQ66" s="27" t="s">
        <v>224</v>
      </c>
    </row>
    <row r="67" spans="1:43" x14ac:dyDescent="0.2">
      <c r="A67" s="4" t="s">
        <v>34</v>
      </c>
      <c r="B67" s="4"/>
      <c r="C67" s="4" t="s">
        <v>82</v>
      </c>
      <c r="D67" s="4" t="s">
        <v>148</v>
      </c>
      <c r="E67" s="4" t="s">
        <v>172</v>
      </c>
      <c r="F67" s="19">
        <v>410</v>
      </c>
      <c r="G67" s="68">
        <v>0</v>
      </c>
      <c r="H67" s="19">
        <f t="shared" si="0"/>
        <v>0</v>
      </c>
      <c r="I67" s="19">
        <f t="shared" si="1"/>
        <v>0</v>
      </c>
      <c r="J67" s="19">
        <f t="shared" si="2"/>
        <v>0</v>
      </c>
      <c r="K67" s="19">
        <v>0</v>
      </c>
      <c r="L67" s="19">
        <f t="shared" si="3"/>
        <v>0</v>
      </c>
      <c r="M67" s="30" t="s">
        <v>192</v>
      </c>
      <c r="N67" s="30" t="s">
        <v>7</v>
      </c>
      <c r="O67" s="19">
        <f t="shared" si="4"/>
        <v>0</v>
      </c>
      <c r="Z67" s="19">
        <f t="shared" si="5"/>
        <v>0</v>
      </c>
      <c r="AA67" s="19">
        <f t="shared" si="6"/>
        <v>0</v>
      </c>
      <c r="AB67" s="19">
        <f t="shared" si="7"/>
        <v>0</v>
      </c>
      <c r="AD67" s="34">
        <v>21</v>
      </c>
      <c r="AE67" s="34">
        <f>G67*0</f>
        <v>0</v>
      </c>
      <c r="AF67" s="34">
        <f>G67*(1-0)</f>
        <v>0</v>
      </c>
      <c r="AM67" s="34">
        <f t="shared" si="8"/>
        <v>0</v>
      </c>
      <c r="AN67" s="34">
        <f t="shared" si="9"/>
        <v>0</v>
      </c>
      <c r="AO67" s="35" t="s">
        <v>214</v>
      </c>
      <c r="AP67" s="35" t="s">
        <v>222</v>
      </c>
      <c r="AQ67" s="27" t="s">
        <v>224</v>
      </c>
    </row>
    <row r="68" spans="1:43" x14ac:dyDescent="0.2">
      <c r="A68" s="4" t="s">
        <v>35</v>
      </c>
      <c r="B68" s="4"/>
      <c r="C68" s="4" t="s">
        <v>83</v>
      </c>
      <c r="D68" s="4" t="s">
        <v>149</v>
      </c>
      <c r="E68" s="4" t="s">
        <v>171</v>
      </c>
      <c r="F68" s="19">
        <v>70</v>
      </c>
      <c r="G68" s="68">
        <v>0</v>
      </c>
      <c r="H68" s="19">
        <f t="shared" si="0"/>
        <v>0</v>
      </c>
      <c r="I68" s="19">
        <f t="shared" si="1"/>
        <v>0</v>
      </c>
      <c r="J68" s="19">
        <f t="shared" si="2"/>
        <v>0</v>
      </c>
      <c r="K68" s="19">
        <v>9.5600000000000008E-3</v>
      </c>
      <c r="L68" s="19">
        <f t="shared" si="3"/>
        <v>0.66920000000000002</v>
      </c>
      <c r="M68" s="30" t="s">
        <v>192</v>
      </c>
      <c r="N68" s="30" t="s">
        <v>7</v>
      </c>
      <c r="O68" s="19">
        <f t="shared" si="4"/>
        <v>0</v>
      </c>
      <c r="Z68" s="19">
        <f t="shared" si="5"/>
        <v>0</v>
      </c>
      <c r="AA68" s="19">
        <f t="shared" si="6"/>
        <v>0</v>
      </c>
      <c r="AB68" s="19">
        <f t="shared" si="7"/>
        <v>0</v>
      </c>
      <c r="AD68" s="34">
        <v>21</v>
      </c>
      <c r="AE68" s="34">
        <f>G68*0</f>
        <v>0</v>
      </c>
      <c r="AF68" s="34">
        <f>G68*(1-0)</f>
        <v>0</v>
      </c>
      <c r="AM68" s="34">
        <f t="shared" si="8"/>
        <v>0</v>
      </c>
      <c r="AN68" s="34">
        <f t="shared" si="9"/>
        <v>0</v>
      </c>
      <c r="AO68" s="35" t="s">
        <v>214</v>
      </c>
      <c r="AP68" s="35" t="s">
        <v>222</v>
      </c>
      <c r="AQ68" s="27" t="s">
        <v>224</v>
      </c>
    </row>
    <row r="69" spans="1:43" x14ac:dyDescent="0.2">
      <c r="A69" s="4" t="s">
        <v>36</v>
      </c>
      <c r="B69" s="4"/>
      <c r="C69" s="4" t="s">
        <v>84</v>
      </c>
      <c r="D69" s="4" t="s">
        <v>150</v>
      </c>
      <c r="E69" s="4" t="s">
        <v>171</v>
      </c>
      <c r="F69" s="19">
        <v>70</v>
      </c>
      <c r="G69" s="68">
        <v>0</v>
      </c>
      <c r="H69" s="19">
        <f t="shared" si="0"/>
        <v>0</v>
      </c>
      <c r="I69" s="19">
        <f t="shared" si="1"/>
        <v>0</v>
      </c>
      <c r="J69" s="19">
        <f t="shared" si="2"/>
        <v>0</v>
      </c>
      <c r="K69" s="19">
        <v>2.0000000000000001E-4</v>
      </c>
      <c r="L69" s="19">
        <f t="shared" si="3"/>
        <v>1.4E-2</v>
      </c>
      <c r="M69" s="30" t="s">
        <v>192</v>
      </c>
      <c r="N69" s="30" t="s">
        <v>7</v>
      </c>
      <c r="O69" s="19">
        <f t="shared" si="4"/>
        <v>0</v>
      </c>
      <c r="Z69" s="19">
        <f t="shared" si="5"/>
        <v>0</v>
      </c>
      <c r="AA69" s="19">
        <f t="shared" si="6"/>
        <v>0</v>
      </c>
      <c r="AB69" s="19">
        <f t="shared" si="7"/>
        <v>0</v>
      </c>
      <c r="AD69" s="34">
        <v>21</v>
      </c>
      <c r="AE69" s="34">
        <f>G69*0.964197530864198</f>
        <v>0</v>
      </c>
      <c r="AF69" s="34">
        <f>G69*(1-0.964197530864198)</f>
        <v>0</v>
      </c>
      <c r="AM69" s="34">
        <f t="shared" si="8"/>
        <v>0</v>
      </c>
      <c r="AN69" s="34">
        <f t="shared" si="9"/>
        <v>0</v>
      </c>
      <c r="AO69" s="35" t="s">
        <v>214</v>
      </c>
      <c r="AP69" s="35" t="s">
        <v>222</v>
      </c>
      <c r="AQ69" s="27" t="s">
        <v>224</v>
      </c>
    </row>
    <row r="70" spans="1:43" x14ac:dyDescent="0.2">
      <c r="A70" s="4" t="s">
        <v>37</v>
      </c>
      <c r="B70" s="4"/>
      <c r="C70" s="4" t="s">
        <v>85</v>
      </c>
      <c r="D70" s="4" t="s">
        <v>151</v>
      </c>
      <c r="E70" s="4" t="s">
        <v>171</v>
      </c>
      <c r="F70" s="19">
        <v>70</v>
      </c>
      <c r="G70" s="68">
        <v>0</v>
      </c>
      <c r="H70" s="19">
        <f t="shared" si="0"/>
        <v>0</v>
      </c>
      <c r="I70" s="19">
        <f t="shared" si="1"/>
        <v>0</v>
      </c>
      <c r="J70" s="19">
        <f t="shared" si="2"/>
        <v>0</v>
      </c>
      <c r="K70" s="19">
        <v>0</v>
      </c>
      <c r="L70" s="19">
        <f t="shared" si="3"/>
        <v>0</v>
      </c>
      <c r="M70" s="30" t="s">
        <v>192</v>
      </c>
      <c r="N70" s="30" t="s">
        <v>7</v>
      </c>
      <c r="O70" s="19">
        <f t="shared" si="4"/>
        <v>0</v>
      </c>
      <c r="Z70" s="19">
        <f t="shared" si="5"/>
        <v>0</v>
      </c>
      <c r="AA70" s="19">
        <f t="shared" si="6"/>
        <v>0</v>
      </c>
      <c r="AB70" s="19">
        <f t="shared" si="7"/>
        <v>0</v>
      </c>
      <c r="AD70" s="34">
        <v>21</v>
      </c>
      <c r="AE70" s="34">
        <f>G70*0</f>
        <v>0</v>
      </c>
      <c r="AF70" s="34">
        <f>G70*(1-0)</f>
        <v>0</v>
      </c>
      <c r="AM70" s="34">
        <f t="shared" si="8"/>
        <v>0</v>
      </c>
      <c r="AN70" s="34">
        <f t="shared" si="9"/>
        <v>0</v>
      </c>
      <c r="AO70" s="35" t="s">
        <v>214</v>
      </c>
      <c r="AP70" s="35" t="s">
        <v>222</v>
      </c>
      <c r="AQ70" s="27" t="s">
        <v>224</v>
      </c>
    </row>
    <row r="71" spans="1:43" x14ac:dyDescent="0.2">
      <c r="A71" s="5"/>
      <c r="B71" s="13"/>
      <c r="C71" s="13" t="s">
        <v>86</v>
      </c>
      <c r="D71" s="81" t="s">
        <v>152</v>
      </c>
      <c r="E71" s="82"/>
      <c r="F71" s="82"/>
      <c r="G71" s="82"/>
      <c r="H71" s="37">
        <f>SUM(H72:H74)</f>
        <v>0</v>
      </c>
      <c r="I71" s="37">
        <f>SUM(I72:I74)</f>
        <v>0</v>
      </c>
      <c r="J71" s="37">
        <f>H71+I71</f>
        <v>0</v>
      </c>
      <c r="K71" s="27"/>
      <c r="L71" s="37">
        <f>SUM(L72:L74)</f>
        <v>0</v>
      </c>
      <c r="M71" s="27"/>
      <c r="P71" s="37">
        <f>IF(Q71="PR",J71,SUM(O72:O74))</f>
        <v>0</v>
      </c>
      <c r="Q71" s="27" t="s">
        <v>196</v>
      </c>
      <c r="R71" s="37">
        <f>IF(Q71="HS",H71,0)</f>
        <v>0</v>
      </c>
      <c r="S71" s="37">
        <f>IF(Q71="HS",I71-P71,0)</f>
        <v>0</v>
      </c>
      <c r="T71" s="37">
        <f>IF(Q71="PS",H71,0)</f>
        <v>0</v>
      </c>
      <c r="U71" s="37">
        <f>IF(Q71="PS",I71-P71,0)</f>
        <v>0</v>
      </c>
      <c r="V71" s="37">
        <f>IF(Q71="MP",H71,0)</f>
        <v>0</v>
      </c>
      <c r="W71" s="37">
        <f>IF(Q71="MP",I71-P71,0)</f>
        <v>0</v>
      </c>
      <c r="X71" s="37">
        <f>IF(Q71="OM",H71,0)</f>
        <v>0</v>
      </c>
      <c r="Y71" s="27"/>
      <c r="AI71" s="37">
        <f>SUM(Z72:Z74)</f>
        <v>0</v>
      </c>
      <c r="AJ71" s="37">
        <f>SUM(AA72:AA74)</f>
        <v>0</v>
      </c>
      <c r="AK71" s="37">
        <f>SUM(AB72:AB74)</f>
        <v>0</v>
      </c>
    </row>
    <row r="72" spans="1:43" x14ac:dyDescent="0.2">
      <c r="A72" s="4" t="s">
        <v>38</v>
      </c>
      <c r="B72" s="4"/>
      <c r="C72" s="4" t="s">
        <v>87</v>
      </c>
      <c r="D72" s="4" t="s">
        <v>153</v>
      </c>
      <c r="E72" s="4" t="s">
        <v>175</v>
      </c>
      <c r="F72" s="19">
        <v>5</v>
      </c>
      <c r="G72" s="68">
        <v>0</v>
      </c>
      <c r="H72" s="19">
        <f>ROUND(F72*AE72,2)</f>
        <v>0</v>
      </c>
      <c r="I72" s="19">
        <f>J72-H72</f>
        <v>0</v>
      </c>
      <c r="J72" s="19">
        <f>ROUND(F72*G72,2)</f>
        <v>0</v>
      </c>
      <c r="K72" s="19">
        <v>0</v>
      </c>
      <c r="L72" s="19">
        <f>F72*K72</f>
        <v>0</v>
      </c>
      <c r="M72" s="30" t="s">
        <v>192</v>
      </c>
      <c r="N72" s="30" t="s">
        <v>11</v>
      </c>
      <c r="O72" s="19">
        <f>IF(N72="5",I72,0)</f>
        <v>0</v>
      </c>
      <c r="Z72" s="19">
        <f>IF(AD72=0,J72,0)</f>
        <v>0</v>
      </c>
      <c r="AA72" s="19">
        <f>IF(AD72=15,J72,0)</f>
        <v>0</v>
      </c>
      <c r="AB72" s="19">
        <f>IF(AD72=21,J72,0)</f>
        <v>0</v>
      </c>
      <c r="AD72" s="34">
        <v>21</v>
      </c>
      <c r="AE72" s="34">
        <f>G72*0.00914225092826609</f>
        <v>0</v>
      </c>
      <c r="AF72" s="34">
        <f>G72*(1-0.00914225092826609)</f>
        <v>0</v>
      </c>
      <c r="AM72" s="34">
        <f>F72*AE72</f>
        <v>0</v>
      </c>
      <c r="AN72" s="34">
        <f>F72*AF72</f>
        <v>0</v>
      </c>
      <c r="AO72" s="35" t="s">
        <v>215</v>
      </c>
      <c r="AP72" s="35" t="s">
        <v>222</v>
      </c>
      <c r="AQ72" s="27" t="s">
        <v>224</v>
      </c>
    </row>
    <row r="73" spans="1:43" x14ac:dyDescent="0.2">
      <c r="C73" s="14" t="s">
        <v>50</v>
      </c>
      <c r="D73" s="73" t="s">
        <v>154</v>
      </c>
      <c r="E73" s="74"/>
      <c r="F73" s="74"/>
      <c r="G73" s="74"/>
      <c r="H73" s="74"/>
      <c r="I73" s="74"/>
      <c r="J73" s="74"/>
      <c r="K73" s="74"/>
      <c r="L73" s="74"/>
      <c r="M73" s="74"/>
    </row>
    <row r="74" spans="1:43" x14ac:dyDescent="0.2">
      <c r="A74" s="4" t="s">
        <v>39</v>
      </c>
      <c r="B74" s="4"/>
      <c r="C74" s="4" t="s">
        <v>88</v>
      </c>
      <c r="D74" s="4" t="s">
        <v>155</v>
      </c>
      <c r="E74" s="4" t="s">
        <v>175</v>
      </c>
      <c r="F74" s="19">
        <v>4</v>
      </c>
      <c r="G74" s="68">
        <v>0</v>
      </c>
      <c r="H74" s="19">
        <f>ROUND(F74*AE74,2)</f>
        <v>0</v>
      </c>
      <c r="I74" s="19">
        <f>J74-H74</f>
        <v>0</v>
      </c>
      <c r="J74" s="19">
        <f>ROUND(F74*G74,2)</f>
        <v>0</v>
      </c>
      <c r="K74" s="19">
        <v>0</v>
      </c>
      <c r="L74" s="19">
        <f>F74*K74</f>
        <v>0</v>
      </c>
      <c r="M74" s="30" t="s">
        <v>192</v>
      </c>
      <c r="N74" s="30" t="s">
        <v>11</v>
      </c>
      <c r="O74" s="19">
        <f>IF(N74="5",I74,0)</f>
        <v>0</v>
      </c>
      <c r="Z74" s="19">
        <f>IF(AD74=0,J74,0)</f>
        <v>0</v>
      </c>
      <c r="AA74" s="19">
        <f>IF(AD74=15,J74,0)</f>
        <v>0</v>
      </c>
      <c r="AB74" s="19">
        <f>IF(AD74=21,J74,0)</f>
        <v>0</v>
      </c>
      <c r="AD74" s="34">
        <v>21</v>
      </c>
      <c r="AE74" s="34">
        <f>G74*0</f>
        <v>0</v>
      </c>
      <c r="AF74" s="34">
        <f>G74*(1-0)</f>
        <v>0</v>
      </c>
      <c r="AM74" s="34">
        <f>F74*AE74</f>
        <v>0</v>
      </c>
      <c r="AN74" s="34">
        <f>F74*AF74</f>
        <v>0</v>
      </c>
      <c r="AO74" s="35" t="s">
        <v>215</v>
      </c>
      <c r="AP74" s="35" t="s">
        <v>222</v>
      </c>
      <c r="AQ74" s="27" t="s">
        <v>224</v>
      </c>
    </row>
    <row r="75" spans="1:43" x14ac:dyDescent="0.2">
      <c r="A75" s="5"/>
      <c r="B75" s="13"/>
      <c r="C75" s="13"/>
      <c r="D75" s="81" t="s">
        <v>156</v>
      </c>
      <c r="E75" s="82"/>
      <c r="F75" s="82"/>
      <c r="G75" s="82"/>
      <c r="H75" s="37">
        <f>SUM(H76:H86)</f>
        <v>0</v>
      </c>
      <c r="I75" s="37">
        <f>SUM(I76:I86)</f>
        <v>0</v>
      </c>
      <c r="J75" s="37">
        <f>H75+I75</f>
        <v>0</v>
      </c>
      <c r="K75" s="27"/>
      <c r="L75" s="37">
        <f>SUM(L76:L86)</f>
        <v>0.95871000000000006</v>
      </c>
      <c r="M75" s="27"/>
      <c r="P75" s="37">
        <f>IF(Q75="PR",J75,SUM(O76:O86))</f>
        <v>0</v>
      </c>
      <c r="Q75" s="27" t="s">
        <v>198</v>
      </c>
      <c r="R75" s="37">
        <f>IF(Q75="HS",H75,0)</f>
        <v>0</v>
      </c>
      <c r="S75" s="37">
        <f>IF(Q75="HS",I75-P75,0)</f>
        <v>0</v>
      </c>
      <c r="T75" s="37">
        <f>IF(Q75="PS",H75,0)</f>
        <v>0</v>
      </c>
      <c r="U75" s="37">
        <f>IF(Q75="PS",I75-P75,0)</f>
        <v>0</v>
      </c>
      <c r="V75" s="37">
        <f>IF(Q75="MP",H75,0)</f>
        <v>0</v>
      </c>
      <c r="W75" s="37">
        <f>IF(Q75="MP",I75-P75,0)</f>
        <v>0</v>
      </c>
      <c r="X75" s="37">
        <f>IF(Q75="OM",H75,0)</f>
        <v>0</v>
      </c>
      <c r="Y75" s="27"/>
      <c r="AI75" s="37">
        <f>SUM(Z76:Z86)</f>
        <v>0</v>
      </c>
      <c r="AJ75" s="37">
        <f>SUM(AA76:AA86)</f>
        <v>0</v>
      </c>
      <c r="AK75" s="37">
        <f>SUM(AB76:AB86)</f>
        <v>0</v>
      </c>
    </row>
    <row r="76" spans="1:43" x14ac:dyDescent="0.2">
      <c r="A76" s="6" t="s">
        <v>40</v>
      </c>
      <c r="B76" s="6"/>
      <c r="C76" s="6" t="s">
        <v>89</v>
      </c>
      <c r="D76" s="6" t="s">
        <v>157</v>
      </c>
      <c r="E76" s="6" t="s">
        <v>176</v>
      </c>
      <c r="F76" s="20">
        <v>0.1</v>
      </c>
      <c r="G76" s="69">
        <v>0</v>
      </c>
      <c r="H76" s="20">
        <f>ROUND(F76*AE76,2)</f>
        <v>0</v>
      </c>
      <c r="I76" s="20">
        <f>J76-H76</f>
        <v>0</v>
      </c>
      <c r="J76" s="20">
        <f>ROUND(F76*G76,2)</f>
        <v>0</v>
      </c>
      <c r="K76" s="20">
        <v>1</v>
      </c>
      <c r="L76" s="20">
        <f>F76*K76</f>
        <v>0.1</v>
      </c>
      <c r="M76" s="31" t="s">
        <v>192</v>
      </c>
      <c r="N76" s="31" t="s">
        <v>193</v>
      </c>
      <c r="O76" s="20">
        <f>IF(N76="5",I76,0)</f>
        <v>0</v>
      </c>
      <c r="Z76" s="20">
        <f>IF(AD76=0,J76,0)</f>
        <v>0</v>
      </c>
      <c r="AA76" s="20">
        <f>IF(AD76=15,J76,0)</f>
        <v>0</v>
      </c>
      <c r="AB76" s="20">
        <f>IF(AD76=21,J76,0)</f>
        <v>0</v>
      </c>
      <c r="AD76" s="34">
        <v>21</v>
      </c>
      <c r="AE76" s="34">
        <f>G76*1</f>
        <v>0</v>
      </c>
      <c r="AF76" s="34">
        <f>G76*(1-1)</f>
        <v>0</v>
      </c>
      <c r="AM76" s="34">
        <f>F76*AE76</f>
        <v>0</v>
      </c>
      <c r="AN76" s="34">
        <f>F76*AF76</f>
        <v>0</v>
      </c>
      <c r="AO76" s="35" t="s">
        <v>216</v>
      </c>
      <c r="AP76" s="35" t="s">
        <v>223</v>
      </c>
      <c r="AQ76" s="27" t="s">
        <v>224</v>
      </c>
    </row>
    <row r="77" spans="1:43" x14ac:dyDescent="0.2">
      <c r="C77" s="14" t="s">
        <v>50</v>
      </c>
      <c r="D77" s="73" t="s">
        <v>158</v>
      </c>
      <c r="E77" s="74"/>
      <c r="F77" s="74"/>
      <c r="G77" s="74"/>
      <c r="H77" s="74"/>
      <c r="I77" s="74"/>
      <c r="J77" s="74"/>
      <c r="K77" s="74"/>
      <c r="L77" s="74"/>
      <c r="M77" s="74"/>
    </row>
    <row r="78" spans="1:43" x14ac:dyDescent="0.2">
      <c r="A78" s="6" t="s">
        <v>41</v>
      </c>
      <c r="B78" s="6"/>
      <c r="C78" s="6" t="s">
        <v>90</v>
      </c>
      <c r="D78" s="6" t="s">
        <v>159</v>
      </c>
      <c r="E78" s="6" t="s">
        <v>172</v>
      </c>
      <c r="F78" s="20">
        <v>12</v>
      </c>
      <c r="G78" s="69">
        <v>0</v>
      </c>
      <c r="H78" s="20">
        <f>ROUND(F78*AE78,2)</f>
        <v>0</v>
      </c>
      <c r="I78" s="20">
        <f>J78-H78</f>
        <v>0</v>
      </c>
      <c r="J78" s="20">
        <f>ROUND(F78*G78,2)</f>
        <v>0</v>
      </c>
      <c r="K78" s="20">
        <v>2.4879999999999999E-2</v>
      </c>
      <c r="L78" s="20">
        <f>F78*K78</f>
        <v>0.29855999999999999</v>
      </c>
      <c r="M78" s="31" t="s">
        <v>192</v>
      </c>
      <c r="N78" s="31" t="s">
        <v>193</v>
      </c>
      <c r="O78" s="20">
        <f>IF(N78="5",I78,0)</f>
        <v>0</v>
      </c>
      <c r="Z78" s="20">
        <f>IF(AD78=0,J78,0)</f>
        <v>0</v>
      </c>
      <c r="AA78" s="20">
        <f>IF(AD78=15,J78,0)</f>
        <v>0</v>
      </c>
      <c r="AB78" s="20">
        <f>IF(AD78=21,J78,0)</f>
        <v>0</v>
      </c>
      <c r="AD78" s="34">
        <v>21</v>
      </c>
      <c r="AE78" s="34">
        <f>G78*1</f>
        <v>0</v>
      </c>
      <c r="AF78" s="34">
        <f>G78*(1-1)</f>
        <v>0</v>
      </c>
      <c r="AM78" s="34">
        <f>F78*AE78</f>
        <v>0</v>
      </c>
      <c r="AN78" s="34">
        <f>F78*AF78</f>
        <v>0</v>
      </c>
      <c r="AO78" s="35" t="s">
        <v>216</v>
      </c>
      <c r="AP78" s="35" t="s">
        <v>223</v>
      </c>
      <c r="AQ78" s="27" t="s">
        <v>224</v>
      </c>
    </row>
    <row r="79" spans="1:43" ht="25.7" customHeight="1" x14ac:dyDescent="0.2">
      <c r="C79" s="14" t="s">
        <v>50</v>
      </c>
      <c r="D79" s="73" t="s">
        <v>160</v>
      </c>
      <c r="E79" s="74"/>
      <c r="F79" s="74"/>
      <c r="G79" s="74"/>
      <c r="H79" s="74"/>
      <c r="I79" s="74"/>
      <c r="J79" s="74"/>
      <c r="K79" s="74"/>
      <c r="L79" s="74"/>
      <c r="M79" s="74"/>
    </row>
    <row r="80" spans="1:43" x14ac:dyDescent="0.2">
      <c r="A80" s="6" t="s">
        <v>42</v>
      </c>
      <c r="B80" s="6"/>
      <c r="C80" s="6" t="s">
        <v>91</v>
      </c>
      <c r="D80" s="6" t="s">
        <v>161</v>
      </c>
      <c r="E80" s="6" t="s">
        <v>174</v>
      </c>
      <c r="F80" s="20">
        <v>12</v>
      </c>
      <c r="G80" s="69">
        <v>0</v>
      </c>
      <c r="H80" s="20">
        <f>ROUND(F80*AE80,2)</f>
        <v>0</v>
      </c>
      <c r="I80" s="20">
        <f>J80-H80</f>
        <v>0</v>
      </c>
      <c r="J80" s="20">
        <f>ROUND(F80*G80,2)</f>
        <v>0</v>
      </c>
      <c r="K80" s="20">
        <v>2.1999999999999999E-2</v>
      </c>
      <c r="L80" s="20">
        <f>F80*K80</f>
        <v>0.26400000000000001</v>
      </c>
      <c r="M80" s="31" t="s">
        <v>192</v>
      </c>
      <c r="N80" s="31" t="s">
        <v>193</v>
      </c>
      <c r="O80" s="20">
        <f>IF(N80="5",I80,0)</f>
        <v>0</v>
      </c>
      <c r="Z80" s="20">
        <f>IF(AD80=0,J80,0)</f>
        <v>0</v>
      </c>
      <c r="AA80" s="20">
        <f>IF(AD80=15,J80,0)</f>
        <v>0</v>
      </c>
      <c r="AB80" s="20">
        <f>IF(AD80=21,J80,0)</f>
        <v>0</v>
      </c>
      <c r="AD80" s="34">
        <v>21</v>
      </c>
      <c r="AE80" s="34">
        <f>G80*1</f>
        <v>0</v>
      </c>
      <c r="AF80" s="34">
        <f>G80*(1-1)</f>
        <v>0</v>
      </c>
      <c r="AM80" s="34">
        <f>F80*AE80</f>
        <v>0</v>
      </c>
      <c r="AN80" s="34">
        <f>F80*AF80</f>
        <v>0</v>
      </c>
      <c r="AO80" s="35" t="s">
        <v>216</v>
      </c>
      <c r="AP80" s="35" t="s">
        <v>223</v>
      </c>
      <c r="AQ80" s="27" t="s">
        <v>224</v>
      </c>
    </row>
    <row r="81" spans="1:43" x14ac:dyDescent="0.2">
      <c r="C81" s="14" t="s">
        <v>50</v>
      </c>
      <c r="D81" s="73" t="s">
        <v>288</v>
      </c>
      <c r="E81" s="74"/>
      <c r="F81" s="74"/>
      <c r="G81" s="74"/>
      <c r="H81" s="74"/>
      <c r="I81" s="74"/>
      <c r="J81" s="74"/>
      <c r="K81" s="74"/>
      <c r="L81" s="74"/>
      <c r="M81" s="74"/>
    </row>
    <row r="82" spans="1:43" x14ac:dyDescent="0.2">
      <c r="A82" s="6" t="s">
        <v>43</v>
      </c>
      <c r="B82" s="6"/>
      <c r="C82" s="6" t="s">
        <v>91</v>
      </c>
      <c r="D82" s="6" t="s">
        <v>162</v>
      </c>
      <c r="E82" s="6" t="s">
        <v>174</v>
      </c>
      <c r="F82" s="20">
        <v>6</v>
      </c>
      <c r="G82" s="69">
        <v>0</v>
      </c>
      <c r="H82" s="20">
        <f>ROUND(F82*AE82,2)</f>
        <v>0</v>
      </c>
      <c r="I82" s="20">
        <f>J82-H82</f>
        <v>0</v>
      </c>
      <c r="J82" s="20">
        <f>ROUND(F82*G82,2)</f>
        <v>0</v>
      </c>
      <c r="K82" s="20">
        <v>2.1999999999999999E-2</v>
      </c>
      <c r="L82" s="20">
        <f>F82*K82</f>
        <v>0.13200000000000001</v>
      </c>
      <c r="M82" s="31" t="s">
        <v>192</v>
      </c>
      <c r="N82" s="31" t="s">
        <v>193</v>
      </c>
      <c r="O82" s="20">
        <f>IF(N82="5",I82,0)</f>
        <v>0</v>
      </c>
      <c r="Z82" s="20">
        <f>IF(AD82=0,J82,0)</f>
        <v>0</v>
      </c>
      <c r="AA82" s="20">
        <f>IF(AD82=15,J82,0)</f>
        <v>0</v>
      </c>
      <c r="AB82" s="20">
        <f>IF(AD82=21,J82,0)</f>
        <v>0</v>
      </c>
      <c r="AD82" s="34">
        <v>21</v>
      </c>
      <c r="AE82" s="34">
        <f>G82*1</f>
        <v>0</v>
      </c>
      <c r="AF82" s="34">
        <f>G82*(1-1)</f>
        <v>0</v>
      </c>
      <c r="AM82" s="34">
        <f>F82*AE82</f>
        <v>0</v>
      </c>
      <c r="AN82" s="34">
        <f>F82*AF82</f>
        <v>0</v>
      </c>
      <c r="AO82" s="35" t="s">
        <v>216</v>
      </c>
      <c r="AP82" s="35" t="s">
        <v>223</v>
      </c>
      <c r="AQ82" s="27" t="s">
        <v>224</v>
      </c>
    </row>
    <row r="83" spans="1:43" x14ac:dyDescent="0.2">
      <c r="C83" s="14" t="s">
        <v>50</v>
      </c>
      <c r="D83" s="73" t="s">
        <v>288</v>
      </c>
      <c r="E83" s="74"/>
      <c r="F83" s="74"/>
      <c r="G83" s="74"/>
      <c r="H83" s="74"/>
      <c r="I83" s="74"/>
      <c r="J83" s="74"/>
      <c r="K83" s="74"/>
      <c r="L83" s="74"/>
      <c r="M83" s="74"/>
    </row>
    <row r="84" spans="1:43" x14ac:dyDescent="0.2">
      <c r="A84" s="6" t="s">
        <v>44</v>
      </c>
      <c r="B84" s="6"/>
      <c r="C84" s="6" t="s">
        <v>92</v>
      </c>
      <c r="D84" s="6" t="s">
        <v>289</v>
      </c>
      <c r="E84" s="6" t="s">
        <v>174</v>
      </c>
      <c r="F84" s="20">
        <v>4</v>
      </c>
      <c r="G84" s="69">
        <v>0</v>
      </c>
      <c r="H84" s="20">
        <f>ROUND(F84*AE84,2)</f>
        <v>0</v>
      </c>
      <c r="I84" s="20">
        <f>J84-H84</f>
        <v>0</v>
      </c>
      <c r="J84" s="20">
        <f>ROUND(F84*G84,2)</f>
        <v>0</v>
      </c>
      <c r="K84" s="20">
        <v>3.5999999999999997E-2</v>
      </c>
      <c r="L84" s="20">
        <f>F84*K84</f>
        <v>0.14399999999999999</v>
      </c>
      <c r="M84" s="31" t="s">
        <v>192</v>
      </c>
      <c r="N84" s="31" t="s">
        <v>193</v>
      </c>
      <c r="O84" s="20">
        <f>IF(N84="5",I84,0)</f>
        <v>0</v>
      </c>
      <c r="Z84" s="20">
        <f>IF(AD84=0,J84,0)</f>
        <v>0</v>
      </c>
      <c r="AA84" s="20">
        <f>IF(AD84=15,J84,0)</f>
        <v>0</v>
      </c>
      <c r="AB84" s="20">
        <f>IF(AD84=21,J84,0)</f>
        <v>0</v>
      </c>
      <c r="AD84" s="34">
        <v>21</v>
      </c>
      <c r="AE84" s="34">
        <f>G84*1</f>
        <v>0</v>
      </c>
      <c r="AF84" s="34">
        <f>G84*(1-1)</f>
        <v>0</v>
      </c>
      <c r="AM84" s="34">
        <f>F84*AE84</f>
        <v>0</v>
      </c>
      <c r="AN84" s="34">
        <f>F84*AF84</f>
        <v>0</v>
      </c>
      <c r="AO84" s="35" t="s">
        <v>216</v>
      </c>
      <c r="AP84" s="35" t="s">
        <v>223</v>
      </c>
      <c r="AQ84" s="27" t="s">
        <v>224</v>
      </c>
    </row>
    <row r="85" spans="1:43" x14ac:dyDescent="0.2">
      <c r="C85" s="14" t="s">
        <v>50</v>
      </c>
      <c r="D85" s="73" t="s">
        <v>290</v>
      </c>
      <c r="E85" s="74"/>
      <c r="F85" s="74"/>
      <c r="G85" s="74"/>
      <c r="H85" s="74"/>
      <c r="I85" s="74"/>
      <c r="J85" s="74"/>
      <c r="K85" s="74"/>
      <c r="L85" s="74"/>
      <c r="M85" s="74"/>
    </row>
    <row r="86" spans="1:43" x14ac:dyDescent="0.2">
      <c r="A86" s="6" t="s">
        <v>45</v>
      </c>
      <c r="B86" s="6"/>
      <c r="C86" s="6" t="s">
        <v>93</v>
      </c>
      <c r="D86" s="6" t="s">
        <v>164</v>
      </c>
      <c r="E86" s="6" t="s">
        <v>172</v>
      </c>
      <c r="F86" s="20">
        <v>13</v>
      </c>
      <c r="G86" s="69">
        <v>0</v>
      </c>
      <c r="H86" s="20">
        <f>ROUND(F86*AE86,2)</f>
        <v>0</v>
      </c>
      <c r="I86" s="20">
        <f>J86-H86</f>
        <v>0</v>
      </c>
      <c r="J86" s="20">
        <f>ROUND(F86*G86,2)</f>
        <v>0</v>
      </c>
      <c r="K86" s="20">
        <v>1.5499999999999999E-3</v>
      </c>
      <c r="L86" s="20">
        <f>F86*K86</f>
        <v>2.0149999999999998E-2</v>
      </c>
      <c r="M86" s="31" t="s">
        <v>192</v>
      </c>
      <c r="N86" s="31" t="s">
        <v>193</v>
      </c>
      <c r="O86" s="20">
        <f>IF(N86="5",I86,0)</f>
        <v>0</v>
      </c>
      <c r="Z86" s="20">
        <f>IF(AD86=0,J86,0)</f>
        <v>0</v>
      </c>
      <c r="AA86" s="20">
        <f>IF(AD86=15,J86,0)</f>
        <v>0</v>
      </c>
      <c r="AB86" s="20">
        <f>IF(AD86=21,J86,0)</f>
        <v>0</v>
      </c>
      <c r="AD86" s="34">
        <v>21</v>
      </c>
      <c r="AE86" s="34">
        <f>G86*1</f>
        <v>0</v>
      </c>
      <c r="AF86" s="34">
        <f>G86*(1-1)</f>
        <v>0</v>
      </c>
      <c r="AM86" s="34">
        <f>F86*AE86</f>
        <v>0</v>
      </c>
      <c r="AN86" s="34">
        <f>F86*AF86</f>
        <v>0</v>
      </c>
      <c r="AO86" s="35" t="s">
        <v>216</v>
      </c>
      <c r="AP86" s="35" t="s">
        <v>223</v>
      </c>
      <c r="AQ86" s="27" t="s">
        <v>224</v>
      </c>
    </row>
    <row r="87" spans="1:43" ht="38.450000000000003" customHeight="1" x14ac:dyDescent="0.2">
      <c r="A87" s="7"/>
      <c r="B87" s="7"/>
      <c r="C87" s="15" t="s">
        <v>50</v>
      </c>
      <c r="D87" s="75" t="s">
        <v>165</v>
      </c>
      <c r="E87" s="76"/>
      <c r="F87" s="76"/>
      <c r="G87" s="76"/>
      <c r="H87" s="76"/>
      <c r="I87" s="76"/>
      <c r="J87" s="76"/>
      <c r="K87" s="76"/>
      <c r="L87" s="76"/>
      <c r="M87" s="76"/>
    </row>
    <row r="88" spans="1:43" x14ac:dyDescent="0.2">
      <c r="A88" s="8"/>
      <c r="B88" s="8"/>
      <c r="C88" s="8"/>
      <c r="D88" s="8"/>
      <c r="E88" s="8"/>
      <c r="F88" s="8"/>
      <c r="G88" s="8"/>
      <c r="H88" s="77" t="s">
        <v>182</v>
      </c>
      <c r="I88" s="78"/>
      <c r="J88" s="38">
        <f>J12+J17+J33+J40+J43+J48+J53+J58+J64+J71+J75</f>
        <v>0</v>
      </c>
      <c r="K88" s="8"/>
      <c r="L88" s="8"/>
      <c r="M88" s="8"/>
      <c r="Z88" s="39">
        <f>SUM(Z13:Z87)</f>
        <v>0</v>
      </c>
      <c r="AA88" s="39">
        <f>SUM(AA13:AA87)</f>
        <v>0</v>
      </c>
      <c r="AB88" s="39">
        <f>SUM(AB13:AB87)</f>
        <v>0</v>
      </c>
    </row>
    <row r="89" spans="1:43" ht="11.25" customHeight="1" x14ac:dyDescent="0.2">
      <c r="A89" s="9" t="s">
        <v>46</v>
      </c>
    </row>
    <row r="90" spans="1:43" ht="409.6" hidden="1" customHeight="1" x14ac:dyDescent="0.2">
      <c r="A90" s="79"/>
      <c r="B90" s="80"/>
      <c r="C90" s="80"/>
      <c r="D90" s="80"/>
      <c r="E90" s="80"/>
      <c r="F90" s="80"/>
      <c r="G90" s="80"/>
      <c r="H90" s="80"/>
      <c r="I90" s="80"/>
      <c r="J90" s="80"/>
      <c r="K90" s="80"/>
      <c r="L90" s="80"/>
      <c r="M90" s="80"/>
    </row>
    <row r="100" spans="7:8" x14ac:dyDescent="0.2">
      <c r="G100" s="70"/>
      <c r="H100" t="s">
        <v>291</v>
      </c>
    </row>
  </sheetData>
  <mergeCells count="66">
    <mergeCell ref="J4:M5"/>
    <mergeCell ref="A1:M1"/>
    <mergeCell ref="A2:C3"/>
    <mergeCell ref="D2:D3"/>
    <mergeCell ref="E2:F3"/>
    <mergeCell ref="G2:H3"/>
    <mergeCell ref="I2:I3"/>
    <mergeCell ref="J2:M3"/>
    <mergeCell ref="A4:C5"/>
    <mergeCell ref="D4:D5"/>
    <mergeCell ref="E4:F5"/>
    <mergeCell ref="G4:H5"/>
    <mergeCell ref="I4:I5"/>
    <mergeCell ref="J8:M9"/>
    <mergeCell ref="A6:C7"/>
    <mergeCell ref="D6:D7"/>
    <mergeCell ref="E6:F7"/>
    <mergeCell ref="G6:H7"/>
    <mergeCell ref="I6:I7"/>
    <mergeCell ref="J6:M7"/>
    <mergeCell ref="A8:C9"/>
    <mergeCell ref="D8:D9"/>
    <mergeCell ref="E8:F9"/>
    <mergeCell ref="G8:H9"/>
    <mergeCell ref="I8:I9"/>
    <mergeCell ref="D29:M29"/>
    <mergeCell ref="H10:J10"/>
    <mergeCell ref="K10:L10"/>
    <mergeCell ref="D12:G12"/>
    <mergeCell ref="D14:M14"/>
    <mergeCell ref="D16:M16"/>
    <mergeCell ref="D17:G17"/>
    <mergeCell ref="D19:M19"/>
    <mergeCell ref="D21:M21"/>
    <mergeCell ref="D23:M23"/>
    <mergeCell ref="D25:M25"/>
    <mergeCell ref="D27:M27"/>
    <mergeCell ref="D52:M52"/>
    <mergeCell ref="D32:M32"/>
    <mergeCell ref="D33:G33"/>
    <mergeCell ref="D35:M35"/>
    <mergeCell ref="D37:M37"/>
    <mergeCell ref="D39:M39"/>
    <mergeCell ref="D40:G40"/>
    <mergeCell ref="D42:M42"/>
    <mergeCell ref="D43:G43"/>
    <mergeCell ref="D47:M47"/>
    <mergeCell ref="D48:G48"/>
    <mergeCell ref="D50:M50"/>
    <mergeCell ref="D81:M81"/>
    <mergeCell ref="D53:G53"/>
    <mergeCell ref="D55:M55"/>
    <mergeCell ref="D57:M57"/>
    <mergeCell ref="D58:G58"/>
    <mergeCell ref="D61:M61"/>
    <mergeCell ref="D64:G64"/>
    <mergeCell ref="D71:G71"/>
    <mergeCell ref="D73:M73"/>
    <mergeCell ref="D75:G75"/>
    <mergeCell ref="D77:M77"/>
    <mergeCell ref="D79:M79"/>
    <mergeCell ref="D83:M83"/>
    <mergeCell ref="D85:M85"/>
    <mergeCell ref="D87:M87"/>
    <mergeCell ref="H88:I88"/>
    <mergeCell ref="A90:M90"/>
  </mergeCells>
  <pageMargins left="0.39400000000000002" right="0.39400000000000002" top="0.59099999999999997" bottom="0.59099999999999997" header="0.5" footer="0.5"/>
  <pageSetup paperSize="0" fitToHeight="0" orientation="landscape"/>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workbookViewId="0">
      <selection sqref="A1:G1"/>
    </sheetView>
  </sheetViews>
  <sheetFormatPr defaultColWidth="11.5703125" defaultRowHeight="12.75" x14ac:dyDescent="0.2"/>
  <cols>
    <col min="1" max="2" width="16.5703125" customWidth="1"/>
    <col min="3" max="3" width="41.7109375" customWidth="1"/>
    <col min="4" max="4" width="22.140625" customWidth="1"/>
    <col min="5" max="5" width="21" customWidth="1"/>
    <col min="6" max="6" width="20.85546875" customWidth="1"/>
    <col min="7" max="7" width="19.7109375" customWidth="1"/>
    <col min="8" max="9" width="0" hidden="1" customWidth="1"/>
  </cols>
  <sheetData>
    <row r="1" spans="1:9" ht="72.95" customHeight="1" x14ac:dyDescent="0.35">
      <c r="A1" s="96" t="s">
        <v>225</v>
      </c>
      <c r="B1" s="97"/>
      <c r="C1" s="97"/>
      <c r="D1" s="97"/>
      <c r="E1" s="97"/>
      <c r="F1" s="97"/>
      <c r="G1" s="97"/>
    </row>
    <row r="2" spans="1:9" x14ac:dyDescent="0.2">
      <c r="A2" s="98" t="s">
        <v>1</v>
      </c>
      <c r="B2" s="100" t="s">
        <v>94</v>
      </c>
      <c r="C2" s="78"/>
      <c r="D2" s="103" t="s">
        <v>183</v>
      </c>
      <c r="E2" s="103"/>
      <c r="F2" s="99"/>
      <c r="G2" s="104"/>
      <c r="H2" s="32"/>
    </row>
    <row r="3" spans="1:9" x14ac:dyDescent="0.2">
      <c r="A3" s="92"/>
      <c r="B3" s="101"/>
      <c r="C3" s="101"/>
      <c r="D3" s="80"/>
      <c r="E3" s="80"/>
      <c r="F3" s="80"/>
      <c r="G3" s="88"/>
      <c r="H3" s="32"/>
    </row>
    <row r="4" spans="1:9" x14ac:dyDescent="0.2">
      <c r="A4" s="91" t="s">
        <v>2</v>
      </c>
      <c r="B4" s="79" t="s">
        <v>95</v>
      </c>
      <c r="C4" s="80"/>
      <c r="D4" s="79" t="s">
        <v>184</v>
      </c>
      <c r="E4" s="79"/>
      <c r="F4" s="80"/>
      <c r="G4" s="88"/>
      <c r="H4" s="32"/>
    </row>
    <row r="5" spans="1:9" x14ac:dyDescent="0.2">
      <c r="A5" s="92"/>
      <c r="B5" s="80"/>
      <c r="C5" s="80"/>
      <c r="D5" s="80"/>
      <c r="E5" s="80"/>
      <c r="F5" s="80"/>
      <c r="G5" s="88"/>
      <c r="H5" s="32"/>
    </row>
    <row r="6" spans="1:9" x14ac:dyDescent="0.2">
      <c r="A6" s="91" t="s">
        <v>3</v>
      </c>
      <c r="B6" s="79" t="s">
        <v>96</v>
      </c>
      <c r="C6" s="80"/>
      <c r="D6" s="79" t="s">
        <v>185</v>
      </c>
      <c r="E6" s="79"/>
      <c r="F6" s="80"/>
      <c r="G6" s="88"/>
      <c r="H6" s="32"/>
    </row>
    <row r="7" spans="1:9" x14ac:dyDescent="0.2">
      <c r="A7" s="92"/>
      <c r="B7" s="80"/>
      <c r="C7" s="80"/>
      <c r="D7" s="80"/>
      <c r="E7" s="80"/>
      <c r="F7" s="80"/>
      <c r="G7" s="88"/>
      <c r="H7" s="32"/>
    </row>
    <row r="8" spans="1:9" x14ac:dyDescent="0.2">
      <c r="A8" s="91" t="s">
        <v>186</v>
      </c>
      <c r="B8" s="79"/>
      <c r="C8" s="80"/>
      <c r="D8" s="93" t="s">
        <v>169</v>
      </c>
      <c r="E8" s="95">
        <v>42168</v>
      </c>
      <c r="F8" s="80"/>
      <c r="G8" s="88"/>
      <c r="H8" s="32"/>
    </row>
    <row r="9" spans="1:9" x14ac:dyDescent="0.2">
      <c r="A9" s="94"/>
      <c r="B9" s="89"/>
      <c r="C9" s="89"/>
      <c r="D9" s="89"/>
      <c r="E9" s="89"/>
      <c r="F9" s="89"/>
      <c r="G9" s="90"/>
      <c r="H9" s="32"/>
    </row>
    <row r="10" spans="1:9" x14ac:dyDescent="0.2">
      <c r="A10" s="40" t="s">
        <v>47</v>
      </c>
      <c r="B10" s="42" t="s">
        <v>48</v>
      </c>
      <c r="C10" s="43" t="s">
        <v>97</v>
      </c>
      <c r="D10" s="44" t="s">
        <v>226</v>
      </c>
      <c r="E10" s="44" t="s">
        <v>227</v>
      </c>
      <c r="F10" s="44" t="s">
        <v>228</v>
      </c>
      <c r="G10" s="47" t="s">
        <v>229</v>
      </c>
      <c r="H10" s="33"/>
    </row>
    <row r="11" spans="1:9" x14ac:dyDescent="0.2">
      <c r="A11" s="41"/>
      <c r="B11" s="41" t="s">
        <v>37</v>
      </c>
      <c r="C11" s="41" t="s">
        <v>99</v>
      </c>
      <c r="D11" s="45"/>
      <c r="E11" s="45"/>
      <c r="F11" s="48">
        <f t="shared" ref="F11:F21" si="0">D11+E11</f>
        <v>0</v>
      </c>
      <c r="G11" s="48">
        <v>21.37987</v>
      </c>
      <c r="H11" s="34" t="s">
        <v>230</v>
      </c>
      <c r="I11" s="34">
        <f t="shared" ref="I11:I21" si="1">IF(H11="T",0,F11)</f>
        <v>0</v>
      </c>
    </row>
    <row r="12" spans="1:9" x14ac:dyDescent="0.2">
      <c r="A12" s="17"/>
      <c r="B12" s="17" t="s">
        <v>51</v>
      </c>
      <c r="C12" s="17" t="s">
        <v>103</v>
      </c>
      <c r="F12" s="34">
        <f t="shared" si="0"/>
        <v>0</v>
      </c>
      <c r="G12" s="34">
        <v>1.59477</v>
      </c>
      <c r="H12" s="34" t="s">
        <v>230</v>
      </c>
      <c r="I12" s="34">
        <f t="shared" si="1"/>
        <v>0</v>
      </c>
    </row>
    <row r="13" spans="1:9" x14ac:dyDescent="0.2">
      <c r="A13" s="17"/>
      <c r="B13" s="17" t="s">
        <v>59</v>
      </c>
      <c r="C13" s="17" t="s">
        <v>117</v>
      </c>
      <c r="F13" s="34">
        <f t="shared" si="0"/>
        <v>0</v>
      </c>
      <c r="G13" s="34">
        <v>1.4356199999999999</v>
      </c>
      <c r="H13" s="34" t="s">
        <v>230</v>
      </c>
      <c r="I13" s="34">
        <f t="shared" si="1"/>
        <v>0</v>
      </c>
    </row>
    <row r="14" spans="1:9" x14ac:dyDescent="0.2">
      <c r="A14" s="17"/>
      <c r="B14" s="17" t="s">
        <v>63</v>
      </c>
      <c r="C14" s="17" t="s">
        <v>123</v>
      </c>
      <c r="F14" s="34">
        <f t="shared" si="0"/>
        <v>0</v>
      </c>
      <c r="G14" s="34">
        <v>1.8E-3</v>
      </c>
      <c r="H14" s="34" t="s">
        <v>230</v>
      </c>
      <c r="I14" s="34">
        <f t="shared" si="1"/>
        <v>0</v>
      </c>
    </row>
    <row r="15" spans="1:9" x14ac:dyDescent="0.2">
      <c r="A15" s="17"/>
      <c r="B15" s="17" t="s">
        <v>65</v>
      </c>
      <c r="C15" s="17" t="s">
        <v>126</v>
      </c>
      <c r="F15" s="34">
        <f t="shared" si="0"/>
        <v>0</v>
      </c>
      <c r="G15" s="34">
        <v>0.12570000000000001</v>
      </c>
      <c r="H15" s="34" t="s">
        <v>230</v>
      </c>
      <c r="I15" s="34">
        <f t="shared" si="1"/>
        <v>0</v>
      </c>
    </row>
    <row r="16" spans="1:9" x14ac:dyDescent="0.2">
      <c r="A16" s="17"/>
      <c r="B16" s="17" t="s">
        <v>69</v>
      </c>
      <c r="C16" s="17" t="s">
        <v>131</v>
      </c>
      <c r="F16" s="34">
        <f t="shared" si="0"/>
        <v>0</v>
      </c>
      <c r="G16" s="34">
        <v>3.5560000000000001E-2</v>
      </c>
      <c r="H16" s="34" t="s">
        <v>230</v>
      </c>
      <c r="I16" s="34">
        <f t="shared" si="1"/>
        <v>0</v>
      </c>
    </row>
    <row r="17" spans="1:9" x14ac:dyDescent="0.2">
      <c r="A17" s="17"/>
      <c r="B17" s="17" t="s">
        <v>72</v>
      </c>
      <c r="C17" s="17" t="s">
        <v>136</v>
      </c>
      <c r="F17" s="34">
        <f t="shared" si="0"/>
        <v>0</v>
      </c>
      <c r="G17" s="34">
        <v>0.1512</v>
      </c>
      <c r="H17" s="34" t="s">
        <v>230</v>
      </c>
      <c r="I17" s="34">
        <f t="shared" si="1"/>
        <v>0</v>
      </c>
    </row>
    <row r="18" spans="1:9" x14ac:dyDescent="0.2">
      <c r="A18" s="17"/>
      <c r="B18" s="17" t="s">
        <v>75</v>
      </c>
      <c r="C18" s="17" t="s">
        <v>141</v>
      </c>
      <c r="F18" s="34">
        <f t="shared" si="0"/>
        <v>0</v>
      </c>
      <c r="G18" s="34">
        <v>5.7080700000000002</v>
      </c>
      <c r="H18" s="34" t="s">
        <v>230</v>
      </c>
      <c r="I18" s="34">
        <f t="shared" si="1"/>
        <v>0</v>
      </c>
    </row>
    <row r="19" spans="1:9" x14ac:dyDescent="0.2">
      <c r="A19" s="17"/>
      <c r="B19" s="17" t="s">
        <v>79</v>
      </c>
      <c r="C19" s="17" t="s">
        <v>145</v>
      </c>
      <c r="F19" s="34">
        <f t="shared" si="0"/>
        <v>0</v>
      </c>
      <c r="G19" s="34">
        <v>8.6084999999999994</v>
      </c>
      <c r="H19" s="34" t="s">
        <v>230</v>
      </c>
      <c r="I19" s="34">
        <f t="shared" si="1"/>
        <v>0</v>
      </c>
    </row>
    <row r="20" spans="1:9" x14ac:dyDescent="0.2">
      <c r="A20" s="17"/>
      <c r="B20" s="17" t="s">
        <v>86</v>
      </c>
      <c r="C20" s="17" t="s">
        <v>152</v>
      </c>
      <c r="F20" s="34">
        <f t="shared" si="0"/>
        <v>0</v>
      </c>
      <c r="G20" s="34">
        <v>0</v>
      </c>
      <c r="H20" s="34" t="s">
        <v>230</v>
      </c>
      <c r="I20" s="34">
        <f t="shared" si="1"/>
        <v>0</v>
      </c>
    </row>
    <row r="21" spans="1:9" x14ac:dyDescent="0.2">
      <c r="A21" s="17"/>
      <c r="B21" s="17"/>
      <c r="C21" s="17" t="s">
        <v>156</v>
      </c>
      <c r="F21" s="34">
        <f t="shared" si="0"/>
        <v>0</v>
      </c>
      <c r="G21" s="34">
        <v>0.95870999999999995</v>
      </c>
      <c r="H21" s="34" t="s">
        <v>230</v>
      </c>
      <c r="I21" s="34">
        <f t="shared" si="1"/>
        <v>0</v>
      </c>
    </row>
    <row r="23" spans="1:9" x14ac:dyDescent="0.2">
      <c r="E23" s="46" t="s">
        <v>182</v>
      </c>
      <c r="F23" s="39">
        <f>SUM(I11:I21)</f>
        <v>0</v>
      </c>
    </row>
  </sheetData>
  <mergeCells count="17">
    <mergeCell ref="A4:A5"/>
    <mergeCell ref="B4:C5"/>
    <mergeCell ref="D4:D5"/>
    <mergeCell ref="E4:G5"/>
    <mergeCell ref="A1:G1"/>
    <mergeCell ref="A2:A3"/>
    <mergeCell ref="B2:C3"/>
    <mergeCell ref="D2:D3"/>
    <mergeCell ref="E2:G3"/>
    <mergeCell ref="A6:A7"/>
    <mergeCell ref="B6:C7"/>
    <mergeCell ref="D6:D7"/>
    <mergeCell ref="E6:G7"/>
    <mergeCell ref="A8:A9"/>
    <mergeCell ref="B8:C9"/>
    <mergeCell ref="D8:D9"/>
    <mergeCell ref="E8:G9"/>
  </mergeCells>
  <pageMargins left="0.39400000000000002" right="0.39400000000000002" top="0.59099999999999997" bottom="0.59099999999999997" header="0.5" footer="0.5"/>
  <pageSetup paperSize="0" fitToHeight="0"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workbookViewId="0">
      <selection sqref="A1:H1"/>
    </sheetView>
  </sheetViews>
  <sheetFormatPr defaultColWidth="11.5703125" defaultRowHeight="12.75" x14ac:dyDescent="0.2"/>
  <cols>
    <col min="1" max="2" width="9.140625" customWidth="1"/>
    <col min="3" max="3" width="13.28515625" customWidth="1"/>
    <col min="4" max="4" width="44" customWidth="1"/>
    <col min="5" max="5" width="14.5703125" customWidth="1"/>
    <col min="6" max="6" width="24.140625" customWidth="1"/>
    <col min="7" max="7" width="20.42578125" customWidth="1"/>
    <col min="8" max="8" width="16.42578125" customWidth="1"/>
  </cols>
  <sheetData>
    <row r="1" spans="1:9" ht="72.95" customHeight="1" x14ac:dyDescent="0.35">
      <c r="A1" s="96" t="s">
        <v>231</v>
      </c>
      <c r="B1" s="97"/>
      <c r="C1" s="97"/>
      <c r="D1" s="97"/>
      <c r="E1" s="97"/>
      <c r="F1" s="97"/>
      <c r="G1" s="97"/>
      <c r="H1" s="97"/>
    </row>
    <row r="2" spans="1:9" x14ac:dyDescent="0.2">
      <c r="A2" s="98" t="s">
        <v>1</v>
      </c>
      <c r="B2" s="99"/>
      <c r="C2" s="100" t="s">
        <v>94</v>
      </c>
      <c r="D2" s="78"/>
      <c r="E2" s="103" t="s">
        <v>183</v>
      </c>
      <c r="F2" s="103"/>
      <c r="G2" s="99"/>
      <c r="H2" s="104"/>
      <c r="I2" s="32"/>
    </row>
    <row r="3" spans="1:9" x14ac:dyDescent="0.2">
      <c r="A3" s="92"/>
      <c r="B3" s="80"/>
      <c r="C3" s="101"/>
      <c r="D3" s="101"/>
      <c r="E3" s="80"/>
      <c r="F3" s="80"/>
      <c r="G3" s="80"/>
      <c r="H3" s="88"/>
      <c r="I3" s="32"/>
    </row>
    <row r="4" spans="1:9" x14ac:dyDescent="0.2">
      <c r="A4" s="91" t="s">
        <v>2</v>
      </c>
      <c r="B4" s="80"/>
      <c r="C4" s="79" t="s">
        <v>95</v>
      </c>
      <c r="D4" s="80"/>
      <c r="E4" s="79" t="s">
        <v>184</v>
      </c>
      <c r="F4" s="79"/>
      <c r="G4" s="80"/>
      <c r="H4" s="88"/>
      <c r="I4" s="32"/>
    </row>
    <row r="5" spans="1:9" x14ac:dyDescent="0.2">
      <c r="A5" s="92"/>
      <c r="B5" s="80"/>
      <c r="C5" s="80"/>
      <c r="D5" s="80"/>
      <c r="E5" s="80"/>
      <c r="F5" s="80"/>
      <c r="G5" s="80"/>
      <c r="H5" s="88"/>
      <c r="I5" s="32"/>
    </row>
    <row r="6" spans="1:9" x14ac:dyDescent="0.2">
      <c r="A6" s="91" t="s">
        <v>3</v>
      </c>
      <c r="B6" s="80"/>
      <c r="C6" s="79" t="s">
        <v>96</v>
      </c>
      <c r="D6" s="80"/>
      <c r="E6" s="79" t="s">
        <v>185</v>
      </c>
      <c r="F6" s="79"/>
      <c r="G6" s="80"/>
      <c r="H6" s="88"/>
      <c r="I6" s="32"/>
    </row>
    <row r="7" spans="1:9" x14ac:dyDescent="0.2">
      <c r="A7" s="92"/>
      <c r="B7" s="80"/>
      <c r="C7" s="80"/>
      <c r="D7" s="80"/>
      <c r="E7" s="80"/>
      <c r="F7" s="80"/>
      <c r="G7" s="80"/>
      <c r="H7" s="88"/>
      <c r="I7" s="32"/>
    </row>
    <row r="8" spans="1:9" x14ac:dyDescent="0.2">
      <c r="A8" s="91" t="s">
        <v>186</v>
      </c>
      <c r="B8" s="80"/>
      <c r="C8" s="79"/>
      <c r="D8" s="80"/>
      <c r="E8" s="93" t="s">
        <v>169</v>
      </c>
      <c r="F8" s="95">
        <v>42168</v>
      </c>
      <c r="G8" s="80"/>
      <c r="H8" s="88"/>
      <c r="I8" s="32"/>
    </row>
    <row r="9" spans="1:9" x14ac:dyDescent="0.2">
      <c r="A9" s="94"/>
      <c r="B9" s="89"/>
      <c r="C9" s="89"/>
      <c r="D9" s="89"/>
      <c r="E9" s="89"/>
      <c r="F9" s="89"/>
      <c r="G9" s="89"/>
      <c r="H9" s="90"/>
      <c r="I9" s="32"/>
    </row>
    <row r="10" spans="1:9" x14ac:dyDescent="0.2">
      <c r="A10" s="42" t="s">
        <v>5</v>
      </c>
      <c r="B10" s="43" t="s">
        <v>47</v>
      </c>
      <c r="C10" s="43" t="s">
        <v>48</v>
      </c>
      <c r="D10" s="43" t="s">
        <v>97</v>
      </c>
      <c r="E10" s="43" t="s">
        <v>170</v>
      </c>
      <c r="F10" s="43" t="s">
        <v>98</v>
      </c>
      <c r="G10" s="49" t="s">
        <v>177</v>
      </c>
      <c r="H10" s="40" t="s">
        <v>232</v>
      </c>
      <c r="I10" s="33"/>
    </row>
    <row r="11" spans="1:9" x14ac:dyDescent="0.2">
      <c r="A11" s="45"/>
      <c r="B11" s="45"/>
      <c r="C11" s="45"/>
      <c r="D11" s="45"/>
      <c r="E11" s="45"/>
      <c r="F11" s="45"/>
      <c r="G11" s="45"/>
      <c r="H11" s="45"/>
    </row>
  </sheetData>
  <mergeCells count="17">
    <mergeCell ref="A4:B5"/>
    <mergeCell ref="C4:D5"/>
    <mergeCell ref="E4:E5"/>
    <mergeCell ref="F4:H5"/>
    <mergeCell ref="A1:H1"/>
    <mergeCell ref="A2:B3"/>
    <mergeCell ref="C2:D3"/>
    <mergeCell ref="E2:E3"/>
    <mergeCell ref="F2:H3"/>
    <mergeCell ref="A6:B7"/>
    <mergeCell ref="C6:D7"/>
    <mergeCell ref="E6:E7"/>
    <mergeCell ref="F6:H7"/>
    <mergeCell ref="A8:B9"/>
    <mergeCell ref="C8:D9"/>
    <mergeCell ref="E8:E9"/>
    <mergeCell ref="F8:H9"/>
  </mergeCells>
  <pageMargins left="0.39400000000000002" right="0.39400000000000002" top="0.59099999999999997" bottom="0.59099999999999997" header="0.5" footer="0.5"/>
  <pageSetup paperSize="0" fitToHeight="0" orientation="landscape"/>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workbookViewId="0">
      <selection sqref="A1:H1"/>
    </sheetView>
  </sheetViews>
  <sheetFormatPr defaultColWidth="11.5703125" defaultRowHeight="12.75" x14ac:dyDescent="0.2"/>
  <cols>
    <col min="1" max="1" width="16.42578125" customWidth="1"/>
    <col min="2" max="2" width="48.7109375" customWidth="1"/>
    <col min="3" max="3" width="15.28515625" customWidth="1"/>
    <col min="4" max="4" width="10.28515625" customWidth="1"/>
    <col min="5" max="5" width="8.42578125" customWidth="1"/>
    <col min="6" max="7" width="11.85546875" customWidth="1"/>
    <col min="8" max="8" width="19.85546875" customWidth="1"/>
  </cols>
  <sheetData>
    <row r="1" spans="1:9" ht="72.95" customHeight="1" x14ac:dyDescent="0.35">
      <c r="A1" s="96" t="s">
        <v>233</v>
      </c>
      <c r="B1" s="97"/>
      <c r="C1" s="97"/>
      <c r="D1" s="97"/>
      <c r="E1" s="97"/>
      <c r="F1" s="97"/>
      <c r="G1" s="97"/>
      <c r="H1" s="97"/>
    </row>
    <row r="2" spans="1:9" x14ac:dyDescent="0.2">
      <c r="A2" s="98" t="s">
        <v>1</v>
      </c>
      <c r="B2" s="100" t="s">
        <v>94</v>
      </c>
      <c r="C2" s="102" t="s">
        <v>166</v>
      </c>
      <c r="D2" s="102"/>
      <c r="E2" s="99"/>
      <c r="F2" s="103" t="s">
        <v>183</v>
      </c>
      <c r="G2" s="103"/>
      <c r="H2" s="104"/>
      <c r="I2" s="32"/>
    </row>
    <row r="3" spans="1:9" x14ac:dyDescent="0.2">
      <c r="A3" s="92"/>
      <c r="B3" s="101"/>
      <c r="C3" s="80"/>
      <c r="D3" s="80"/>
      <c r="E3" s="80"/>
      <c r="F3" s="80"/>
      <c r="G3" s="80"/>
      <c r="H3" s="88"/>
      <c r="I3" s="32"/>
    </row>
    <row r="4" spans="1:9" x14ac:dyDescent="0.2">
      <c r="A4" s="91" t="s">
        <v>2</v>
      </c>
      <c r="B4" s="79" t="s">
        <v>95</v>
      </c>
      <c r="C4" s="93" t="s">
        <v>167</v>
      </c>
      <c r="D4" s="95">
        <v>42168</v>
      </c>
      <c r="E4" s="80"/>
      <c r="F4" s="79" t="s">
        <v>184</v>
      </c>
      <c r="G4" s="79"/>
      <c r="H4" s="88"/>
      <c r="I4" s="32"/>
    </row>
    <row r="5" spans="1:9" x14ac:dyDescent="0.2">
      <c r="A5" s="92"/>
      <c r="B5" s="80"/>
      <c r="C5" s="80"/>
      <c r="D5" s="80"/>
      <c r="E5" s="80"/>
      <c r="F5" s="80"/>
      <c r="G5" s="80"/>
      <c r="H5" s="88"/>
      <c r="I5" s="32"/>
    </row>
    <row r="6" spans="1:9" x14ac:dyDescent="0.2">
      <c r="A6" s="91" t="s">
        <v>3</v>
      </c>
      <c r="B6" s="79" t="s">
        <v>96</v>
      </c>
      <c r="C6" s="93" t="s">
        <v>168</v>
      </c>
      <c r="D6" s="80"/>
      <c r="E6" s="80"/>
      <c r="F6" s="79" t="s">
        <v>185</v>
      </c>
      <c r="G6" s="79"/>
      <c r="H6" s="88"/>
      <c r="I6" s="32"/>
    </row>
    <row r="7" spans="1:9" x14ac:dyDescent="0.2">
      <c r="A7" s="92"/>
      <c r="B7" s="80"/>
      <c r="C7" s="80"/>
      <c r="D7" s="80"/>
      <c r="E7" s="80"/>
      <c r="F7" s="80"/>
      <c r="G7" s="80"/>
      <c r="H7" s="88"/>
      <c r="I7" s="32"/>
    </row>
    <row r="8" spans="1:9" x14ac:dyDescent="0.2">
      <c r="A8" s="91" t="s">
        <v>4</v>
      </c>
      <c r="B8" s="79"/>
      <c r="C8" s="93" t="s">
        <v>169</v>
      </c>
      <c r="D8" s="95">
        <v>42168</v>
      </c>
      <c r="E8" s="80"/>
      <c r="F8" s="79" t="s">
        <v>186</v>
      </c>
      <c r="G8" s="79"/>
      <c r="H8" s="88"/>
      <c r="I8" s="32"/>
    </row>
    <row r="9" spans="1:9" x14ac:dyDescent="0.2">
      <c r="A9" s="94"/>
      <c r="B9" s="89"/>
      <c r="C9" s="89"/>
      <c r="D9" s="89"/>
      <c r="E9" s="89"/>
      <c r="F9" s="89"/>
      <c r="G9" s="89"/>
      <c r="H9" s="90"/>
      <c r="I9" s="32"/>
    </row>
    <row r="10" spans="1:9" x14ac:dyDescent="0.2">
      <c r="A10" s="42" t="s">
        <v>48</v>
      </c>
      <c r="B10" s="43" t="s">
        <v>97</v>
      </c>
      <c r="C10" s="49" t="s">
        <v>234</v>
      </c>
      <c r="D10" s="49" t="s">
        <v>235</v>
      </c>
      <c r="E10" s="49" t="s">
        <v>236</v>
      </c>
      <c r="F10" s="49" t="s">
        <v>237</v>
      </c>
      <c r="G10" s="49" t="s">
        <v>238</v>
      </c>
      <c r="H10" s="50" t="s">
        <v>239</v>
      </c>
      <c r="I10" s="33"/>
    </row>
    <row r="11" spans="1:9" x14ac:dyDescent="0.2">
      <c r="A11" s="45"/>
      <c r="B11" s="45"/>
      <c r="C11" s="45"/>
      <c r="D11" s="45"/>
      <c r="E11" s="45"/>
      <c r="F11" s="45"/>
      <c r="G11" s="45"/>
      <c r="H11" s="45"/>
    </row>
  </sheetData>
  <mergeCells count="25">
    <mergeCell ref="G4:H5"/>
    <mergeCell ref="A1:H1"/>
    <mergeCell ref="A2:A3"/>
    <mergeCell ref="B2:B3"/>
    <mergeCell ref="C2:C3"/>
    <mergeCell ref="D2:E3"/>
    <mergeCell ref="F2:F3"/>
    <mergeCell ref="G2:H3"/>
    <mergeCell ref="A4:A5"/>
    <mergeCell ref="B4:B5"/>
    <mergeCell ref="C4:C5"/>
    <mergeCell ref="D4:E5"/>
    <mergeCell ref="F4:F5"/>
    <mergeCell ref="G8:H9"/>
    <mergeCell ref="A6:A7"/>
    <mergeCell ref="B6:B7"/>
    <mergeCell ref="C6:C7"/>
    <mergeCell ref="D6:E7"/>
    <mergeCell ref="F6:F7"/>
    <mergeCell ref="G6:H7"/>
    <mergeCell ref="A8:A9"/>
    <mergeCell ref="B8:B9"/>
    <mergeCell ref="C8:C9"/>
    <mergeCell ref="D8:E9"/>
    <mergeCell ref="F8:F9"/>
  </mergeCells>
  <pageMargins left="0.39400000000000002" right="0.39400000000000002" top="0.59099999999999997" bottom="0.59099999999999997" header="0.5" footer="0.5"/>
  <pageSetup paperSize="0" fitToHeight="0" orientation="landscape"/>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topLeftCell="A61" workbookViewId="0">
      <selection activeCell="F62" sqref="F62"/>
    </sheetView>
  </sheetViews>
  <sheetFormatPr defaultColWidth="11.5703125" defaultRowHeight="12.75" x14ac:dyDescent="0.2"/>
  <cols>
    <col min="1" max="1" width="14.5703125" customWidth="1"/>
    <col min="2" max="2" width="10.42578125" customWidth="1"/>
    <col min="3" max="3" width="14.5703125" customWidth="1"/>
    <col min="4" max="4" width="39.7109375" customWidth="1"/>
    <col min="5" max="5" width="16.140625" customWidth="1"/>
    <col min="6" max="6" width="23.28515625" customWidth="1"/>
    <col min="7" max="7" width="21.28515625" customWidth="1"/>
    <col min="8" max="8" width="19.5703125" customWidth="1"/>
    <col min="9" max="9" width="11.42578125" customWidth="1"/>
  </cols>
  <sheetData>
    <row r="1" spans="1:10" ht="72.95" customHeight="1" x14ac:dyDescent="0.35">
      <c r="A1" s="96" t="s">
        <v>240</v>
      </c>
      <c r="B1" s="97"/>
      <c r="C1" s="97"/>
      <c r="D1" s="97"/>
      <c r="E1" s="97"/>
      <c r="F1" s="97"/>
      <c r="G1" s="97"/>
      <c r="H1" s="97"/>
      <c r="I1" s="97"/>
    </row>
    <row r="2" spans="1:10" x14ac:dyDescent="0.2">
      <c r="A2" s="98" t="s">
        <v>1</v>
      </c>
      <c r="B2" s="100" t="s">
        <v>94</v>
      </c>
      <c r="C2" s="78"/>
      <c r="D2" s="78"/>
      <c r="E2" s="102" t="s">
        <v>166</v>
      </c>
      <c r="F2" s="102"/>
      <c r="G2" s="103" t="s">
        <v>183</v>
      </c>
      <c r="H2" s="103"/>
      <c r="I2" s="104"/>
      <c r="J2" s="32"/>
    </row>
    <row r="3" spans="1:10" x14ac:dyDescent="0.2">
      <c r="A3" s="92"/>
      <c r="B3" s="101"/>
      <c r="C3" s="101"/>
      <c r="D3" s="101"/>
      <c r="E3" s="80"/>
      <c r="F3" s="80"/>
      <c r="G3" s="80"/>
      <c r="H3" s="80"/>
      <c r="I3" s="88"/>
      <c r="J3" s="32"/>
    </row>
    <row r="4" spans="1:10" x14ac:dyDescent="0.2">
      <c r="A4" s="91" t="s">
        <v>2</v>
      </c>
      <c r="B4" s="79" t="s">
        <v>95</v>
      </c>
      <c r="C4" s="80"/>
      <c r="D4" s="80"/>
      <c r="E4" s="93" t="s">
        <v>167</v>
      </c>
      <c r="F4" s="95">
        <v>42168</v>
      </c>
      <c r="G4" s="79" t="s">
        <v>184</v>
      </c>
      <c r="H4" s="79"/>
      <c r="I4" s="88"/>
      <c r="J4" s="32"/>
    </row>
    <row r="5" spans="1:10" x14ac:dyDescent="0.2">
      <c r="A5" s="92"/>
      <c r="B5" s="80"/>
      <c r="C5" s="80"/>
      <c r="D5" s="80"/>
      <c r="E5" s="80"/>
      <c r="F5" s="80"/>
      <c r="G5" s="80"/>
      <c r="H5" s="80"/>
      <c r="I5" s="88"/>
      <c r="J5" s="32"/>
    </row>
    <row r="6" spans="1:10" x14ac:dyDescent="0.2">
      <c r="A6" s="91" t="s">
        <v>3</v>
      </c>
      <c r="B6" s="79" t="s">
        <v>96</v>
      </c>
      <c r="C6" s="80"/>
      <c r="D6" s="80"/>
      <c r="E6" s="93" t="s">
        <v>168</v>
      </c>
      <c r="F6" s="80"/>
      <c r="G6" s="79" t="s">
        <v>185</v>
      </c>
      <c r="H6" s="79"/>
      <c r="I6" s="88"/>
      <c r="J6" s="32"/>
    </row>
    <row r="7" spans="1:10" x14ac:dyDescent="0.2">
      <c r="A7" s="92"/>
      <c r="B7" s="80"/>
      <c r="C7" s="80"/>
      <c r="D7" s="80"/>
      <c r="E7" s="80"/>
      <c r="F7" s="80"/>
      <c r="G7" s="80"/>
      <c r="H7" s="80"/>
      <c r="I7" s="88"/>
      <c r="J7" s="32"/>
    </row>
    <row r="8" spans="1:10" x14ac:dyDescent="0.2">
      <c r="A8" s="91" t="s">
        <v>4</v>
      </c>
      <c r="B8" s="79"/>
      <c r="C8" s="80"/>
      <c r="D8" s="80"/>
      <c r="E8" s="93" t="s">
        <v>169</v>
      </c>
      <c r="F8" s="95">
        <v>42168</v>
      </c>
      <c r="G8" s="79" t="s">
        <v>186</v>
      </c>
      <c r="H8" s="79"/>
      <c r="I8" s="88"/>
      <c r="J8" s="32"/>
    </row>
    <row r="9" spans="1:10" x14ac:dyDescent="0.2">
      <c r="A9" s="94"/>
      <c r="B9" s="89"/>
      <c r="C9" s="89"/>
      <c r="D9" s="89"/>
      <c r="E9" s="89"/>
      <c r="F9" s="89"/>
      <c r="G9" s="89"/>
      <c r="H9" s="89"/>
      <c r="I9" s="90"/>
      <c r="J9" s="32"/>
    </row>
    <row r="10" spans="1:10" x14ac:dyDescent="0.2">
      <c r="A10" s="51" t="s">
        <v>5</v>
      </c>
      <c r="B10" s="51" t="s">
        <v>47</v>
      </c>
      <c r="C10" s="42" t="s">
        <v>48</v>
      </c>
      <c r="D10" s="109" t="s">
        <v>97</v>
      </c>
      <c r="E10" s="110"/>
      <c r="F10" s="49" t="s">
        <v>241</v>
      </c>
      <c r="G10" s="49" t="s">
        <v>242</v>
      </c>
      <c r="H10" s="49" t="s">
        <v>243</v>
      </c>
      <c r="I10" s="50" t="s">
        <v>244</v>
      </c>
      <c r="J10" s="33"/>
    </row>
    <row r="11" spans="1:10" x14ac:dyDescent="0.2">
      <c r="A11" s="12"/>
      <c r="B11" s="12"/>
      <c r="C11" s="12" t="s">
        <v>37</v>
      </c>
      <c r="D11" s="86" t="s">
        <v>99</v>
      </c>
      <c r="E11" s="87"/>
      <c r="F11" s="36">
        <v>0</v>
      </c>
      <c r="G11" s="36">
        <f>SUM(G12:G13)</f>
        <v>0</v>
      </c>
      <c r="H11" s="36">
        <f t="shared" ref="H11:H42" si="0">G11-F11</f>
        <v>0</v>
      </c>
      <c r="I11" s="36">
        <f t="shared" ref="I11:I42" si="1">IF(F11=0,0,H11/F11*100)</f>
        <v>0</v>
      </c>
    </row>
    <row r="12" spans="1:10" x14ac:dyDescent="0.2">
      <c r="A12" s="4" t="s">
        <v>7</v>
      </c>
      <c r="B12" s="4"/>
      <c r="C12" s="4" t="s">
        <v>49</v>
      </c>
      <c r="D12" s="107" t="s">
        <v>100</v>
      </c>
      <c r="E12" s="108"/>
      <c r="F12" s="19">
        <v>0</v>
      </c>
      <c r="G12" s="19">
        <v>0</v>
      </c>
      <c r="H12" s="19">
        <f t="shared" si="0"/>
        <v>0</v>
      </c>
      <c r="I12" s="19">
        <f t="shared" si="1"/>
        <v>0</v>
      </c>
    </row>
    <row r="13" spans="1:10" x14ac:dyDescent="0.2">
      <c r="A13" s="4" t="s">
        <v>8</v>
      </c>
      <c r="B13" s="4"/>
      <c r="C13" s="4" t="s">
        <v>49</v>
      </c>
      <c r="D13" s="107" t="s">
        <v>102</v>
      </c>
      <c r="E13" s="108"/>
      <c r="F13" s="19">
        <v>0</v>
      </c>
      <c r="G13" s="19">
        <v>0</v>
      </c>
      <c r="H13" s="19">
        <f t="shared" si="0"/>
        <v>0</v>
      </c>
      <c r="I13" s="19">
        <f t="shared" si="1"/>
        <v>0</v>
      </c>
    </row>
    <row r="14" spans="1:10" x14ac:dyDescent="0.2">
      <c r="A14" s="13"/>
      <c r="B14" s="13"/>
      <c r="C14" s="13" t="s">
        <v>51</v>
      </c>
      <c r="D14" s="81" t="s">
        <v>103</v>
      </c>
      <c r="E14" s="82"/>
      <c r="F14" s="37">
        <v>0</v>
      </c>
      <c r="G14" s="37">
        <f>SUM(G15:G22)</f>
        <v>0</v>
      </c>
      <c r="H14" s="37">
        <f t="shared" si="0"/>
        <v>0</v>
      </c>
      <c r="I14" s="37">
        <f t="shared" si="1"/>
        <v>0</v>
      </c>
    </row>
    <row r="15" spans="1:10" x14ac:dyDescent="0.2">
      <c r="A15" s="4" t="s">
        <v>9</v>
      </c>
      <c r="B15" s="4"/>
      <c r="C15" s="4" t="s">
        <v>52</v>
      </c>
      <c r="D15" s="107" t="s">
        <v>104</v>
      </c>
      <c r="E15" s="108"/>
      <c r="F15" s="19">
        <v>0</v>
      </c>
      <c r="G15" s="19">
        <v>0</v>
      </c>
      <c r="H15" s="19">
        <f t="shared" si="0"/>
        <v>0</v>
      </c>
      <c r="I15" s="19">
        <f t="shared" si="1"/>
        <v>0</v>
      </c>
    </row>
    <row r="16" spans="1:10" x14ac:dyDescent="0.2">
      <c r="A16" s="4" t="s">
        <v>10</v>
      </c>
      <c r="B16" s="4"/>
      <c r="C16" s="4" t="s">
        <v>53</v>
      </c>
      <c r="D16" s="107" t="s">
        <v>106</v>
      </c>
      <c r="E16" s="108"/>
      <c r="F16" s="19">
        <v>0</v>
      </c>
      <c r="G16" s="19">
        <v>0</v>
      </c>
      <c r="H16" s="19">
        <f t="shared" si="0"/>
        <v>0</v>
      </c>
      <c r="I16" s="19">
        <f t="shared" si="1"/>
        <v>0</v>
      </c>
    </row>
    <row r="17" spans="1:9" x14ac:dyDescent="0.2">
      <c r="A17" s="4" t="s">
        <v>11</v>
      </c>
      <c r="B17" s="4"/>
      <c r="C17" s="4" t="s">
        <v>54</v>
      </c>
      <c r="D17" s="107" t="s">
        <v>107</v>
      </c>
      <c r="E17" s="108"/>
      <c r="F17" s="19">
        <v>0</v>
      </c>
      <c r="G17" s="19">
        <v>0</v>
      </c>
      <c r="H17" s="19">
        <f t="shared" si="0"/>
        <v>0</v>
      </c>
      <c r="I17" s="19">
        <f t="shared" si="1"/>
        <v>0</v>
      </c>
    </row>
    <row r="18" spans="1:9" x14ac:dyDescent="0.2">
      <c r="A18" s="4" t="s">
        <v>12</v>
      </c>
      <c r="B18" s="4"/>
      <c r="C18" s="4" t="s">
        <v>54</v>
      </c>
      <c r="D18" s="107" t="s">
        <v>109</v>
      </c>
      <c r="E18" s="108"/>
      <c r="F18" s="19">
        <v>0</v>
      </c>
      <c r="G18" s="19">
        <v>0</v>
      </c>
      <c r="H18" s="19">
        <f t="shared" si="0"/>
        <v>0</v>
      </c>
      <c r="I18" s="19">
        <f t="shared" si="1"/>
        <v>0</v>
      </c>
    </row>
    <row r="19" spans="1:9" x14ac:dyDescent="0.2">
      <c r="A19" s="4" t="s">
        <v>13</v>
      </c>
      <c r="B19" s="4"/>
      <c r="C19" s="4" t="s">
        <v>55</v>
      </c>
      <c r="D19" s="107" t="s">
        <v>110</v>
      </c>
      <c r="E19" s="108"/>
      <c r="F19" s="19">
        <v>0</v>
      </c>
      <c r="G19" s="19">
        <v>0</v>
      </c>
      <c r="H19" s="19">
        <f t="shared" si="0"/>
        <v>0</v>
      </c>
      <c r="I19" s="19">
        <f t="shared" si="1"/>
        <v>0</v>
      </c>
    </row>
    <row r="20" spans="1:9" x14ac:dyDescent="0.2">
      <c r="A20" s="4" t="s">
        <v>14</v>
      </c>
      <c r="B20" s="4"/>
      <c r="C20" s="4" t="s">
        <v>56</v>
      </c>
      <c r="D20" s="107" t="s">
        <v>112</v>
      </c>
      <c r="E20" s="108"/>
      <c r="F20" s="19">
        <v>0</v>
      </c>
      <c r="G20" s="19">
        <v>0</v>
      </c>
      <c r="H20" s="19">
        <f t="shared" si="0"/>
        <v>0</v>
      </c>
      <c r="I20" s="19">
        <f t="shared" si="1"/>
        <v>0</v>
      </c>
    </row>
    <row r="21" spans="1:9" x14ac:dyDescent="0.2">
      <c r="A21" s="4" t="s">
        <v>15</v>
      </c>
      <c r="B21" s="4"/>
      <c r="C21" s="4" t="s">
        <v>57</v>
      </c>
      <c r="D21" s="107" t="s">
        <v>114</v>
      </c>
      <c r="E21" s="108"/>
      <c r="F21" s="19">
        <v>0</v>
      </c>
      <c r="G21" s="19">
        <v>0</v>
      </c>
      <c r="H21" s="19">
        <f t="shared" si="0"/>
        <v>0</v>
      </c>
      <c r="I21" s="19">
        <f t="shared" si="1"/>
        <v>0</v>
      </c>
    </row>
    <row r="22" spans="1:9" x14ac:dyDescent="0.2">
      <c r="A22" s="4" t="s">
        <v>16</v>
      </c>
      <c r="B22" s="4"/>
      <c r="C22" s="4" t="s">
        <v>58</v>
      </c>
      <c r="D22" s="107" t="s">
        <v>115</v>
      </c>
      <c r="E22" s="108"/>
      <c r="F22" s="19">
        <v>0</v>
      </c>
      <c r="G22" s="19">
        <v>0</v>
      </c>
      <c r="H22" s="19">
        <f t="shared" si="0"/>
        <v>0</v>
      </c>
      <c r="I22" s="19">
        <f t="shared" si="1"/>
        <v>0</v>
      </c>
    </row>
    <row r="23" spans="1:9" x14ac:dyDescent="0.2">
      <c r="A23" s="13"/>
      <c r="B23" s="13"/>
      <c r="C23" s="13" t="s">
        <v>59</v>
      </c>
      <c r="D23" s="81" t="s">
        <v>117</v>
      </c>
      <c r="E23" s="82"/>
      <c r="F23" s="37">
        <v>0</v>
      </c>
      <c r="G23" s="37">
        <f>SUM(G24:G26)</f>
        <v>0</v>
      </c>
      <c r="H23" s="37">
        <f t="shared" si="0"/>
        <v>0</v>
      </c>
      <c r="I23" s="37">
        <f t="shared" si="1"/>
        <v>0</v>
      </c>
    </row>
    <row r="24" spans="1:9" x14ac:dyDescent="0.2">
      <c r="A24" s="4" t="s">
        <v>17</v>
      </c>
      <c r="B24" s="4"/>
      <c r="C24" s="4" t="s">
        <v>60</v>
      </c>
      <c r="D24" s="107" t="s">
        <v>118</v>
      </c>
      <c r="E24" s="108"/>
      <c r="F24" s="19">
        <v>0</v>
      </c>
      <c r="G24" s="19">
        <v>0</v>
      </c>
      <c r="H24" s="19">
        <f t="shared" si="0"/>
        <v>0</v>
      </c>
      <c r="I24" s="19">
        <f t="shared" si="1"/>
        <v>0</v>
      </c>
    </row>
    <row r="25" spans="1:9" x14ac:dyDescent="0.2">
      <c r="A25" s="4" t="s">
        <v>18</v>
      </c>
      <c r="B25" s="4"/>
      <c r="C25" s="4" t="s">
        <v>61</v>
      </c>
      <c r="D25" s="107" t="s">
        <v>120</v>
      </c>
      <c r="E25" s="108"/>
      <c r="F25" s="19">
        <v>0</v>
      </c>
      <c r="G25" s="19">
        <v>0</v>
      </c>
      <c r="H25" s="19">
        <f t="shared" si="0"/>
        <v>0</v>
      </c>
      <c r="I25" s="19">
        <f t="shared" si="1"/>
        <v>0</v>
      </c>
    </row>
    <row r="26" spans="1:9" x14ac:dyDescent="0.2">
      <c r="A26" s="4" t="s">
        <v>19</v>
      </c>
      <c r="B26" s="4"/>
      <c r="C26" s="4" t="s">
        <v>62</v>
      </c>
      <c r="D26" s="107" t="s">
        <v>122</v>
      </c>
      <c r="E26" s="108"/>
      <c r="F26" s="19">
        <v>0</v>
      </c>
      <c r="G26" s="19">
        <v>0</v>
      </c>
      <c r="H26" s="19">
        <f t="shared" si="0"/>
        <v>0</v>
      </c>
      <c r="I26" s="19">
        <f t="shared" si="1"/>
        <v>0</v>
      </c>
    </row>
    <row r="27" spans="1:9" x14ac:dyDescent="0.2">
      <c r="A27" s="13"/>
      <c r="B27" s="13"/>
      <c r="C27" s="13" t="s">
        <v>63</v>
      </c>
      <c r="D27" s="81" t="s">
        <v>123</v>
      </c>
      <c r="E27" s="82"/>
      <c r="F27" s="37">
        <v>0</v>
      </c>
      <c r="G27" s="37">
        <f>SUM(G28:G28)</f>
        <v>0</v>
      </c>
      <c r="H27" s="37">
        <f t="shared" si="0"/>
        <v>0</v>
      </c>
      <c r="I27" s="37">
        <f t="shared" si="1"/>
        <v>0</v>
      </c>
    </row>
    <row r="28" spans="1:9" x14ac:dyDescent="0.2">
      <c r="A28" s="4" t="s">
        <v>20</v>
      </c>
      <c r="B28" s="4"/>
      <c r="C28" s="4" t="s">
        <v>64</v>
      </c>
      <c r="D28" s="107" t="s">
        <v>124</v>
      </c>
      <c r="E28" s="108"/>
      <c r="F28" s="19">
        <v>0</v>
      </c>
      <c r="G28" s="19">
        <v>0</v>
      </c>
      <c r="H28" s="19">
        <f t="shared" si="0"/>
        <v>0</v>
      </c>
      <c r="I28" s="19">
        <f t="shared" si="1"/>
        <v>0</v>
      </c>
    </row>
    <row r="29" spans="1:9" x14ac:dyDescent="0.2">
      <c r="A29" s="13"/>
      <c r="B29" s="13"/>
      <c r="C29" s="13" t="s">
        <v>65</v>
      </c>
      <c r="D29" s="81" t="s">
        <v>126</v>
      </c>
      <c r="E29" s="82"/>
      <c r="F29" s="37">
        <v>0</v>
      </c>
      <c r="G29" s="37">
        <f>SUM(G30:G32)</f>
        <v>0</v>
      </c>
      <c r="H29" s="37">
        <f t="shared" si="0"/>
        <v>0</v>
      </c>
      <c r="I29" s="37">
        <f t="shared" si="1"/>
        <v>0</v>
      </c>
    </row>
    <row r="30" spans="1:9" x14ac:dyDescent="0.2">
      <c r="A30" s="4" t="s">
        <v>21</v>
      </c>
      <c r="B30" s="4"/>
      <c r="C30" s="4" t="s">
        <v>66</v>
      </c>
      <c r="D30" s="107" t="s">
        <v>127</v>
      </c>
      <c r="E30" s="108"/>
      <c r="F30" s="19">
        <v>0</v>
      </c>
      <c r="G30" s="19">
        <v>0</v>
      </c>
      <c r="H30" s="19">
        <f t="shared" si="0"/>
        <v>0</v>
      </c>
      <c r="I30" s="19">
        <f t="shared" si="1"/>
        <v>0</v>
      </c>
    </row>
    <row r="31" spans="1:9" x14ac:dyDescent="0.2">
      <c r="A31" s="4" t="s">
        <v>22</v>
      </c>
      <c r="B31" s="4"/>
      <c r="C31" s="4" t="s">
        <v>67</v>
      </c>
      <c r="D31" s="107" t="s">
        <v>128</v>
      </c>
      <c r="E31" s="108"/>
      <c r="F31" s="19">
        <v>0</v>
      </c>
      <c r="G31" s="19">
        <v>0</v>
      </c>
      <c r="H31" s="19">
        <f t="shared" si="0"/>
        <v>0</v>
      </c>
      <c r="I31" s="19">
        <f t="shared" si="1"/>
        <v>0</v>
      </c>
    </row>
    <row r="32" spans="1:9" x14ac:dyDescent="0.2">
      <c r="A32" s="4" t="s">
        <v>23</v>
      </c>
      <c r="B32" s="4"/>
      <c r="C32" s="4" t="s">
        <v>68</v>
      </c>
      <c r="D32" s="107" t="s">
        <v>129</v>
      </c>
      <c r="E32" s="108"/>
      <c r="F32" s="19">
        <v>0</v>
      </c>
      <c r="G32" s="19">
        <v>0</v>
      </c>
      <c r="H32" s="19">
        <f t="shared" si="0"/>
        <v>0</v>
      </c>
      <c r="I32" s="19">
        <f t="shared" si="1"/>
        <v>0</v>
      </c>
    </row>
    <row r="33" spans="1:9" x14ac:dyDescent="0.2">
      <c r="A33" s="13"/>
      <c r="B33" s="13"/>
      <c r="C33" s="13" t="s">
        <v>69</v>
      </c>
      <c r="D33" s="81" t="s">
        <v>131</v>
      </c>
      <c r="E33" s="82"/>
      <c r="F33" s="37">
        <v>0</v>
      </c>
      <c r="G33" s="37">
        <f>SUM(G34:G35)</f>
        <v>0</v>
      </c>
      <c r="H33" s="37">
        <f t="shared" si="0"/>
        <v>0</v>
      </c>
      <c r="I33" s="37">
        <f t="shared" si="1"/>
        <v>0</v>
      </c>
    </row>
    <row r="34" spans="1:9" x14ac:dyDescent="0.2">
      <c r="A34" s="4" t="s">
        <v>24</v>
      </c>
      <c r="B34" s="4"/>
      <c r="C34" s="4" t="s">
        <v>70</v>
      </c>
      <c r="D34" s="107" t="s">
        <v>132</v>
      </c>
      <c r="E34" s="108"/>
      <c r="F34" s="19">
        <v>0</v>
      </c>
      <c r="G34" s="19">
        <v>0</v>
      </c>
      <c r="H34" s="19">
        <f t="shared" si="0"/>
        <v>0</v>
      </c>
      <c r="I34" s="19">
        <f t="shared" si="1"/>
        <v>0</v>
      </c>
    </row>
    <row r="35" spans="1:9" x14ac:dyDescent="0.2">
      <c r="A35" s="4" t="s">
        <v>25</v>
      </c>
      <c r="B35" s="4"/>
      <c r="C35" s="4" t="s">
        <v>71</v>
      </c>
      <c r="D35" s="107" t="s">
        <v>134</v>
      </c>
      <c r="E35" s="108"/>
      <c r="F35" s="19">
        <v>0</v>
      </c>
      <c r="G35" s="19">
        <v>0</v>
      </c>
      <c r="H35" s="19">
        <f t="shared" si="0"/>
        <v>0</v>
      </c>
      <c r="I35" s="19">
        <f t="shared" si="1"/>
        <v>0</v>
      </c>
    </row>
    <row r="36" spans="1:9" x14ac:dyDescent="0.2">
      <c r="A36" s="13"/>
      <c r="B36" s="13"/>
      <c r="C36" s="13" t="s">
        <v>72</v>
      </c>
      <c r="D36" s="81" t="s">
        <v>136</v>
      </c>
      <c r="E36" s="82"/>
      <c r="F36" s="37">
        <v>0</v>
      </c>
      <c r="G36" s="37">
        <f>SUM(G37:G38)</f>
        <v>0</v>
      </c>
      <c r="H36" s="37">
        <f t="shared" si="0"/>
        <v>0</v>
      </c>
      <c r="I36" s="37">
        <f t="shared" si="1"/>
        <v>0</v>
      </c>
    </row>
    <row r="37" spans="1:9" x14ac:dyDescent="0.2">
      <c r="A37" s="4" t="s">
        <v>26</v>
      </c>
      <c r="B37" s="4"/>
      <c r="C37" s="4" t="s">
        <v>73</v>
      </c>
      <c r="D37" s="107" t="s">
        <v>137</v>
      </c>
      <c r="E37" s="108"/>
      <c r="F37" s="19">
        <v>0</v>
      </c>
      <c r="G37" s="19">
        <v>0</v>
      </c>
      <c r="H37" s="19">
        <f t="shared" si="0"/>
        <v>0</v>
      </c>
      <c r="I37" s="19">
        <f t="shared" si="1"/>
        <v>0</v>
      </c>
    </row>
    <row r="38" spans="1:9" x14ac:dyDescent="0.2">
      <c r="A38" s="4" t="s">
        <v>27</v>
      </c>
      <c r="B38" s="4"/>
      <c r="C38" s="4" t="s">
        <v>74</v>
      </c>
      <c r="D38" s="107" t="s">
        <v>139</v>
      </c>
      <c r="E38" s="108"/>
      <c r="F38" s="19">
        <v>0</v>
      </c>
      <c r="G38" s="19">
        <v>0</v>
      </c>
      <c r="H38" s="19">
        <f t="shared" si="0"/>
        <v>0</v>
      </c>
      <c r="I38" s="19">
        <f t="shared" si="1"/>
        <v>0</v>
      </c>
    </row>
    <row r="39" spans="1:9" x14ac:dyDescent="0.2">
      <c r="A39" s="13"/>
      <c r="B39" s="13"/>
      <c r="C39" s="13" t="s">
        <v>75</v>
      </c>
      <c r="D39" s="81" t="s">
        <v>141</v>
      </c>
      <c r="E39" s="82"/>
      <c r="F39" s="37">
        <v>0</v>
      </c>
      <c r="G39" s="37">
        <f>SUM(G40:G43)</f>
        <v>0</v>
      </c>
      <c r="H39" s="37">
        <f t="shared" si="0"/>
        <v>0</v>
      </c>
      <c r="I39" s="37">
        <f t="shared" si="1"/>
        <v>0</v>
      </c>
    </row>
    <row r="40" spans="1:9" x14ac:dyDescent="0.2">
      <c r="A40" s="4" t="s">
        <v>28</v>
      </c>
      <c r="B40" s="4"/>
      <c r="C40" s="4" t="s">
        <v>76</v>
      </c>
      <c r="D40" s="107" t="s">
        <v>142</v>
      </c>
      <c r="E40" s="108"/>
      <c r="F40" s="19">
        <v>0</v>
      </c>
      <c r="G40" s="19">
        <v>0</v>
      </c>
      <c r="H40" s="19">
        <f t="shared" si="0"/>
        <v>0</v>
      </c>
      <c r="I40" s="19">
        <f t="shared" si="1"/>
        <v>0</v>
      </c>
    </row>
    <row r="41" spans="1:9" x14ac:dyDescent="0.2">
      <c r="A41" s="4" t="s">
        <v>29</v>
      </c>
      <c r="B41" s="4"/>
      <c r="C41" s="4" t="s">
        <v>68</v>
      </c>
      <c r="D41" s="107" t="s">
        <v>129</v>
      </c>
      <c r="E41" s="108"/>
      <c r="F41" s="19">
        <v>0</v>
      </c>
      <c r="G41" s="19">
        <v>0</v>
      </c>
      <c r="H41" s="19">
        <f t="shared" si="0"/>
        <v>0</v>
      </c>
      <c r="I41" s="19">
        <f t="shared" si="1"/>
        <v>0</v>
      </c>
    </row>
    <row r="42" spans="1:9" x14ac:dyDescent="0.2">
      <c r="A42" s="4" t="s">
        <v>30</v>
      </c>
      <c r="B42" s="4"/>
      <c r="C42" s="4" t="s">
        <v>77</v>
      </c>
      <c r="D42" s="107" t="s">
        <v>143</v>
      </c>
      <c r="E42" s="108"/>
      <c r="F42" s="19">
        <v>0</v>
      </c>
      <c r="G42" s="19">
        <v>0</v>
      </c>
      <c r="H42" s="19">
        <f t="shared" si="0"/>
        <v>0</v>
      </c>
      <c r="I42" s="19">
        <f t="shared" si="1"/>
        <v>0</v>
      </c>
    </row>
    <row r="43" spans="1:9" x14ac:dyDescent="0.2">
      <c r="A43" s="4" t="s">
        <v>31</v>
      </c>
      <c r="B43" s="4"/>
      <c r="C43" s="4" t="s">
        <v>78</v>
      </c>
      <c r="D43" s="107" t="s">
        <v>144</v>
      </c>
      <c r="E43" s="108"/>
      <c r="F43" s="19">
        <v>0</v>
      </c>
      <c r="G43" s="19">
        <v>0</v>
      </c>
      <c r="H43" s="19">
        <f t="shared" ref="H43:H60" si="2">G43-F43</f>
        <v>0</v>
      </c>
      <c r="I43" s="19">
        <f t="shared" ref="I43:I60" si="3">IF(F43=0,0,H43/F43*100)</f>
        <v>0</v>
      </c>
    </row>
    <row r="44" spans="1:9" x14ac:dyDescent="0.2">
      <c r="A44" s="13"/>
      <c r="B44" s="13"/>
      <c r="C44" s="13" t="s">
        <v>79</v>
      </c>
      <c r="D44" s="81" t="s">
        <v>145</v>
      </c>
      <c r="E44" s="82"/>
      <c r="F44" s="37">
        <v>0</v>
      </c>
      <c r="G44" s="37">
        <f>SUM(G45:G50)</f>
        <v>0</v>
      </c>
      <c r="H44" s="37">
        <f t="shared" si="2"/>
        <v>0</v>
      </c>
      <c r="I44" s="37">
        <f t="shared" si="3"/>
        <v>0</v>
      </c>
    </row>
    <row r="45" spans="1:9" x14ac:dyDescent="0.2">
      <c r="A45" s="4" t="s">
        <v>32</v>
      </c>
      <c r="B45" s="4"/>
      <c r="C45" s="4" t="s">
        <v>80</v>
      </c>
      <c r="D45" s="107" t="s">
        <v>146</v>
      </c>
      <c r="E45" s="108"/>
      <c r="F45" s="19">
        <v>0</v>
      </c>
      <c r="G45" s="19">
        <v>0</v>
      </c>
      <c r="H45" s="19">
        <f t="shared" si="2"/>
        <v>0</v>
      </c>
      <c r="I45" s="19">
        <f t="shared" si="3"/>
        <v>0</v>
      </c>
    </row>
    <row r="46" spans="1:9" x14ac:dyDescent="0.2">
      <c r="A46" s="4" t="s">
        <v>33</v>
      </c>
      <c r="B46" s="4"/>
      <c r="C46" s="4" t="s">
        <v>81</v>
      </c>
      <c r="D46" s="107" t="s">
        <v>147</v>
      </c>
      <c r="E46" s="108"/>
      <c r="F46" s="19">
        <v>0</v>
      </c>
      <c r="G46" s="19">
        <v>0</v>
      </c>
      <c r="H46" s="19">
        <f t="shared" si="2"/>
        <v>0</v>
      </c>
      <c r="I46" s="19">
        <f t="shared" si="3"/>
        <v>0</v>
      </c>
    </row>
    <row r="47" spans="1:9" x14ac:dyDescent="0.2">
      <c r="A47" s="4" t="s">
        <v>34</v>
      </c>
      <c r="B47" s="4"/>
      <c r="C47" s="4" t="s">
        <v>82</v>
      </c>
      <c r="D47" s="107" t="s">
        <v>148</v>
      </c>
      <c r="E47" s="108"/>
      <c r="F47" s="19">
        <v>0</v>
      </c>
      <c r="G47" s="19">
        <v>0</v>
      </c>
      <c r="H47" s="19">
        <f t="shared" si="2"/>
        <v>0</v>
      </c>
      <c r="I47" s="19">
        <f t="shared" si="3"/>
        <v>0</v>
      </c>
    </row>
    <row r="48" spans="1:9" x14ac:dyDescent="0.2">
      <c r="A48" s="4" t="s">
        <v>35</v>
      </c>
      <c r="B48" s="4"/>
      <c r="C48" s="4" t="s">
        <v>83</v>
      </c>
      <c r="D48" s="107" t="s">
        <v>149</v>
      </c>
      <c r="E48" s="108"/>
      <c r="F48" s="19">
        <v>0</v>
      </c>
      <c r="G48" s="19">
        <v>0</v>
      </c>
      <c r="H48" s="19">
        <f t="shared" si="2"/>
        <v>0</v>
      </c>
      <c r="I48" s="19">
        <f t="shared" si="3"/>
        <v>0</v>
      </c>
    </row>
    <row r="49" spans="1:9" x14ac:dyDescent="0.2">
      <c r="A49" s="4" t="s">
        <v>36</v>
      </c>
      <c r="B49" s="4"/>
      <c r="C49" s="4" t="s">
        <v>84</v>
      </c>
      <c r="D49" s="107" t="s">
        <v>150</v>
      </c>
      <c r="E49" s="108"/>
      <c r="F49" s="19">
        <v>0</v>
      </c>
      <c r="G49" s="19">
        <v>0</v>
      </c>
      <c r="H49" s="19">
        <f t="shared" si="2"/>
        <v>0</v>
      </c>
      <c r="I49" s="19">
        <f t="shared" si="3"/>
        <v>0</v>
      </c>
    </row>
    <row r="50" spans="1:9" x14ac:dyDescent="0.2">
      <c r="A50" s="4" t="s">
        <v>37</v>
      </c>
      <c r="B50" s="4"/>
      <c r="C50" s="4" t="s">
        <v>85</v>
      </c>
      <c r="D50" s="107" t="s">
        <v>151</v>
      </c>
      <c r="E50" s="108"/>
      <c r="F50" s="19">
        <v>0</v>
      </c>
      <c r="G50" s="19">
        <v>0</v>
      </c>
      <c r="H50" s="19">
        <f t="shared" si="2"/>
        <v>0</v>
      </c>
      <c r="I50" s="19">
        <f t="shared" si="3"/>
        <v>0</v>
      </c>
    </row>
    <row r="51" spans="1:9" x14ac:dyDescent="0.2">
      <c r="A51" s="13"/>
      <c r="B51" s="13"/>
      <c r="C51" s="13" t="s">
        <v>86</v>
      </c>
      <c r="D51" s="81" t="s">
        <v>152</v>
      </c>
      <c r="E51" s="82"/>
      <c r="F51" s="37">
        <v>0</v>
      </c>
      <c r="G51" s="37">
        <f>SUM(G52:G53)</f>
        <v>0</v>
      </c>
      <c r="H51" s="37">
        <f t="shared" si="2"/>
        <v>0</v>
      </c>
      <c r="I51" s="37">
        <f t="shared" si="3"/>
        <v>0</v>
      </c>
    </row>
    <row r="52" spans="1:9" x14ac:dyDescent="0.2">
      <c r="A52" s="4" t="s">
        <v>38</v>
      </c>
      <c r="B52" s="4"/>
      <c r="C52" s="4" t="s">
        <v>87</v>
      </c>
      <c r="D52" s="107" t="s">
        <v>153</v>
      </c>
      <c r="E52" s="108"/>
      <c r="F52" s="19">
        <v>0</v>
      </c>
      <c r="G52" s="19">
        <v>0</v>
      </c>
      <c r="H52" s="19">
        <f t="shared" si="2"/>
        <v>0</v>
      </c>
      <c r="I52" s="19">
        <f t="shared" si="3"/>
        <v>0</v>
      </c>
    </row>
    <row r="53" spans="1:9" x14ac:dyDescent="0.2">
      <c r="A53" s="4" t="s">
        <v>39</v>
      </c>
      <c r="B53" s="4"/>
      <c r="C53" s="4" t="s">
        <v>88</v>
      </c>
      <c r="D53" s="107" t="s">
        <v>155</v>
      </c>
      <c r="E53" s="108"/>
      <c r="F53" s="19">
        <v>0</v>
      </c>
      <c r="G53" s="19">
        <v>0</v>
      </c>
      <c r="H53" s="19">
        <f t="shared" si="2"/>
        <v>0</v>
      </c>
      <c r="I53" s="19">
        <f t="shared" si="3"/>
        <v>0</v>
      </c>
    </row>
    <row r="54" spans="1:9" x14ac:dyDescent="0.2">
      <c r="A54" s="13"/>
      <c r="B54" s="13"/>
      <c r="C54" s="13"/>
      <c r="D54" s="81" t="s">
        <v>156</v>
      </c>
      <c r="E54" s="82"/>
      <c r="F54" s="37">
        <v>0</v>
      </c>
      <c r="G54" s="37">
        <f>SUM(G55:G60)</f>
        <v>0</v>
      </c>
      <c r="H54" s="37">
        <f t="shared" si="2"/>
        <v>0</v>
      </c>
      <c r="I54" s="37">
        <f t="shared" si="3"/>
        <v>0</v>
      </c>
    </row>
    <row r="55" spans="1:9" x14ac:dyDescent="0.2">
      <c r="A55" s="6" t="s">
        <v>40</v>
      </c>
      <c r="B55" s="6"/>
      <c r="C55" s="6" t="s">
        <v>89</v>
      </c>
      <c r="D55" s="105" t="s">
        <v>157</v>
      </c>
      <c r="E55" s="106"/>
      <c r="F55" s="20">
        <v>0</v>
      </c>
      <c r="G55" s="20">
        <v>0</v>
      </c>
      <c r="H55" s="20">
        <f t="shared" si="2"/>
        <v>0</v>
      </c>
      <c r="I55" s="20">
        <f t="shared" si="3"/>
        <v>0</v>
      </c>
    </row>
    <row r="56" spans="1:9" x14ac:dyDescent="0.2">
      <c r="A56" s="6" t="s">
        <v>41</v>
      </c>
      <c r="B56" s="6"/>
      <c r="C56" s="6" t="s">
        <v>90</v>
      </c>
      <c r="D56" s="105" t="s">
        <v>159</v>
      </c>
      <c r="E56" s="106"/>
      <c r="F56" s="20">
        <v>0</v>
      </c>
      <c r="G56" s="20">
        <v>0</v>
      </c>
      <c r="H56" s="20">
        <f t="shared" si="2"/>
        <v>0</v>
      </c>
      <c r="I56" s="20">
        <f t="shared" si="3"/>
        <v>0</v>
      </c>
    </row>
    <row r="57" spans="1:9" x14ac:dyDescent="0.2">
      <c r="A57" s="6" t="s">
        <v>42</v>
      </c>
      <c r="B57" s="6"/>
      <c r="C57" s="6" t="s">
        <v>91</v>
      </c>
      <c r="D57" s="105" t="s">
        <v>161</v>
      </c>
      <c r="E57" s="106"/>
      <c r="F57" s="20">
        <v>0</v>
      </c>
      <c r="G57" s="20">
        <v>0</v>
      </c>
      <c r="H57" s="20">
        <f t="shared" si="2"/>
        <v>0</v>
      </c>
      <c r="I57" s="20">
        <f t="shared" si="3"/>
        <v>0</v>
      </c>
    </row>
    <row r="58" spans="1:9" x14ac:dyDescent="0.2">
      <c r="A58" s="6" t="s">
        <v>43</v>
      </c>
      <c r="B58" s="6"/>
      <c r="C58" s="6" t="s">
        <v>91</v>
      </c>
      <c r="D58" s="105" t="s">
        <v>162</v>
      </c>
      <c r="E58" s="106"/>
      <c r="F58" s="20">
        <v>0</v>
      </c>
      <c r="G58" s="20">
        <v>0</v>
      </c>
      <c r="H58" s="20">
        <f t="shared" si="2"/>
        <v>0</v>
      </c>
      <c r="I58" s="20">
        <f t="shared" si="3"/>
        <v>0</v>
      </c>
    </row>
    <row r="59" spans="1:9" x14ac:dyDescent="0.2">
      <c r="A59" s="6" t="s">
        <v>44</v>
      </c>
      <c r="B59" s="6"/>
      <c r="C59" s="6" t="s">
        <v>92</v>
      </c>
      <c r="D59" s="105" t="s">
        <v>163</v>
      </c>
      <c r="E59" s="106"/>
      <c r="F59" s="20">
        <v>0</v>
      </c>
      <c r="G59" s="20">
        <v>0</v>
      </c>
      <c r="H59" s="20">
        <f t="shared" si="2"/>
        <v>0</v>
      </c>
      <c r="I59" s="20">
        <f t="shared" si="3"/>
        <v>0</v>
      </c>
    </row>
    <row r="60" spans="1:9" x14ac:dyDescent="0.2">
      <c r="A60" s="6" t="s">
        <v>45</v>
      </c>
      <c r="B60" s="6"/>
      <c r="C60" s="6" t="s">
        <v>93</v>
      </c>
      <c r="D60" s="105" t="s">
        <v>164</v>
      </c>
      <c r="E60" s="106"/>
      <c r="F60" s="20">
        <v>0</v>
      </c>
      <c r="G60" s="20">
        <v>0</v>
      </c>
      <c r="H60" s="20">
        <f t="shared" si="2"/>
        <v>0</v>
      </c>
      <c r="I60" s="20">
        <f t="shared" si="3"/>
        <v>0</v>
      </c>
    </row>
    <row r="61" spans="1:9" x14ac:dyDescent="0.2">
      <c r="F61">
        <v>0</v>
      </c>
    </row>
  </sheetData>
  <mergeCells count="76">
    <mergeCell ref="H4:I5"/>
    <mergeCell ref="A1:I1"/>
    <mergeCell ref="A2:A3"/>
    <mergeCell ref="B2:D3"/>
    <mergeCell ref="E2:E3"/>
    <mergeCell ref="F2:F3"/>
    <mergeCell ref="G2:G3"/>
    <mergeCell ref="H2:I3"/>
    <mergeCell ref="A4:A5"/>
    <mergeCell ref="B4:D5"/>
    <mergeCell ref="E4:E5"/>
    <mergeCell ref="F4:F5"/>
    <mergeCell ref="G4:G5"/>
    <mergeCell ref="G8:G9"/>
    <mergeCell ref="H8:I9"/>
    <mergeCell ref="A6:A7"/>
    <mergeCell ref="B6:D7"/>
    <mergeCell ref="E6:E7"/>
    <mergeCell ref="F6:F7"/>
    <mergeCell ref="G6:G7"/>
    <mergeCell ref="H6:I7"/>
    <mergeCell ref="D15:E15"/>
    <mergeCell ref="A8:A9"/>
    <mergeCell ref="B8:D9"/>
    <mergeCell ref="E8:E9"/>
    <mergeCell ref="F8:F9"/>
    <mergeCell ref="D10:E10"/>
    <mergeCell ref="D11:E11"/>
    <mergeCell ref="D12:E12"/>
    <mergeCell ref="D13:E13"/>
    <mergeCell ref="D14:E14"/>
    <mergeCell ref="D27:E27"/>
    <mergeCell ref="D16:E16"/>
    <mergeCell ref="D17:E17"/>
    <mergeCell ref="D18:E18"/>
    <mergeCell ref="D19:E19"/>
    <mergeCell ref="D20:E20"/>
    <mergeCell ref="D21:E21"/>
    <mergeCell ref="D22:E22"/>
    <mergeCell ref="D23:E23"/>
    <mergeCell ref="D24:E24"/>
    <mergeCell ref="D25:E25"/>
    <mergeCell ref="D26:E26"/>
    <mergeCell ref="D39:E39"/>
    <mergeCell ref="D28:E28"/>
    <mergeCell ref="D29:E29"/>
    <mergeCell ref="D30:E30"/>
    <mergeCell ref="D31:E31"/>
    <mergeCell ref="D32:E32"/>
    <mergeCell ref="D33:E33"/>
    <mergeCell ref="D34:E34"/>
    <mergeCell ref="D35:E35"/>
    <mergeCell ref="D36:E36"/>
    <mergeCell ref="D37:E37"/>
    <mergeCell ref="D38:E38"/>
    <mergeCell ref="D51:E51"/>
    <mergeCell ref="D40:E40"/>
    <mergeCell ref="D41:E41"/>
    <mergeCell ref="D42:E42"/>
    <mergeCell ref="D43:E43"/>
    <mergeCell ref="D44:E44"/>
    <mergeCell ref="D45:E45"/>
    <mergeCell ref="D46:E46"/>
    <mergeCell ref="D47:E47"/>
    <mergeCell ref="D48:E48"/>
    <mergeCell ref="D49:E49"/>
    <mergeCell ref="D50:E50"/>
    <mergeCell ref="D58:E58"/>
    <mergeCell ref="D59:E59"/>
    <mergeCell ref="D60:E60"/>
    <mergeCell ref="D52:E52"/>
    <mergeCell ref="D53:E53"/>
    <mergeCell ref="D54:E54"/>
    <mergeCell ref="D55:E55"/>
    <mergeCell ref="D56:E56"/>
    <mergeCell ref="D57:E57"/>
  </mergeCells>
  <pageMargins left="0.39400000000000002" right="0.39400000000000002" top="0.59099999999999997" bottom="0.59099999999999997" header="0.5" footer="0.5"/>
  <pageSetup paperSize="0" fitToHeight="0"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workbookViewId="0">
      <selection activeCell="F6" sqref="F6:G7"/>
    </sheetView>
  </sheetViews>
  <sheetFormatPr defaultColWidth="11.5703125" defaultRowHeight="12.75" x14ac:dyDescent="0.2"/>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12.85546875" customWidth="1"/>
    <col min="9" max="9" width="22.85546875" customWidth="1"/>
  </cols>
  <sheetData>
    <row r="1" spans="1:10" ht="72.95" customHeight="1" x14ac:dyDescent="0.2">
      <c r="A1" s="67"/>
      <c r="B1" s="7"/>
      <c r="C1" s="146" t="s">
        <v>259</v>
      </c>
      <c r="D1" s="147"/>
      <c r="E1" s="147"/>
      <c r="F1" s="147"/>
      <c r="G1" s="147"/>
      <c r="H1" s="147"/>
      <c r="I1" s="147"/>
    </row>
    <row r="2" spans="1:10" x14ac:dyDescent="0.2">
      <c r="A2" s="98" t="s">
        <v>1</v>
      </c>
      <c r="B2" s="99"/>
      <c r="C2" s="100" t="s">
        <v>94</v>
      </c>
      <c r="D2" s="78"/>
      <c r="E2" s="103" t="s">
        <v>183</v>
      </c>
      <c r="F2" s="103"/>
      <c r="G2" s="99"/>
      <c r="H2" s="103" t="s">
        <v>284</v>
      </c>
      <c r="I2" s="148"/>
      <c r="J2" s="32"/>
    </row>
    <row r="3" spans="1:10" x14ac:dyDescent="0.2">
      <c r="A3" s="92"/>
      <c r="B3" s="80"/>
      <c r="C3" s="101"/>
      <c r="D3" s="101"/>
      <c r="E3" s="80"/>
      <c r="F3" s="80"/>
      <c r="G3" s="80"/>
      <c r="H3" s="80"/>
      <c r="I3" s="88"/>
      <c r="J3" s="32"/>
    </row>
    <row r="4" spans="1:10" x14ac:dyDescent="0.2">
      <c r="A4" s="91" t="s">
        <v>2</v>
      </c>
      <c r="B4" s="80"/>
      <c r="C4" s="79" t="s">
        <v>95</v>
      </c>
      <c r="D4" s="80"/>
      <c r="E4" s="79" t="s">
        <v>184</v>
      </c>
      <c r="F4" s="79"/>
      <c r="G4" s="80"/>
      <c r="H4" s="79" t="s">
        <v>284</v>
      </c>
      <c r="I4" s="141"/>
      <c r="J4" s="32"/>
    </row>
    <row r="5" spans="1:10" x14ac:dyDescent="0.2">
      <c r="A5" s="92"/>
      <c r="B5" s="80"/>
      <c r="C5" s="80"/>
      <c r="D5" s="80"/>
      <c r="E5" s="80"/>
      <c r="F5" s="80"/>
      <c r="G5" s="80"/>
      <c r="H5" s="80"/>
      <c r="I5" s="88"/>
      <c r="J5" s="32"/>
    </row>
    <row r="6" spans="1:10" x14ac:dyDescent="0.2">
      <c r="A6" s="91" t="s">
        <v>3</v>
      </c>
      <c r="B6" s="80"/>
      <c r="C6" s="79" t="s">
        <v>96</v>
      </c>
      <c r="D6" s="80"/>
      <c r="E6" s="79" t="s">
        <v>185</v>
      </c>
      <c r="F6" s="144"/>
      <c r="G6" s="145"/>
      <c r="H6" s="79" t="s">
        <v>284</v>
      </c>
      <c r="I6" s="141"/>
      <c r="J6" s="32"/>
    </row>
    <row r="7" spans="1:10" x14ac:dyDescent="0.2">
      <c r="A7" s="92"/>
      <c r="B7" s="80"/>
      <c r="C7" s="80"/>
      <c r="D7" s="80"/>
      <c r="E7" s="80"/>
      <c r="F7" s="145"/>
      <c r="G7" s="145"/>
      <c r="H7" s="80"/>
      <c r="I7" s="88"/>
      <c r="J7" s="32"/>
    </row>
    <row r="8" spans="1:10" x14ac:dyDescent="0.2">
      <c r="A8" s="91" t="s">
        <v>167</v>
      </c>
      <c r="B8" s="80"/>
      <c r="C8" s="95">
        <v>42168</v>
      </c>
      <c r="D8" s="80"/>
      <c r="E8" s="79" t="s">
        <v>168</v>
      </c>
      <c r="F8" s="80"/>
      <c r="G8" s="80"/>
      <c r="H8" s="93" t="s">
        <v>285</v>
      </c>
      <c r="I8" s="141" t="s">
        <v>45</v>
      </c>
      <c r="J8" s="32"/>
    </row>
    <row r="9" spans="1:10" x14ac:dyDescent="0.2">
      <c r="A9" s="92"/>
      <c r="B9" s="80"/>
      <c r="C9" s="80"/>
      <c r="D9" s="80"/>
      <c r="E9" s="80"/>
      <c r="F9" s="80"/>
      <c r="G9" s="80"/>
      <c r="H9" s="80"/>
      <c r="I9" s="88"/>
      <c r="J9" s="32"/>
    </row>
    <row r="10" spans="1:10" x14ac:dyDescent="0.2">
      <c r="A10" s="91" t="s">
        <v>4</v>
      </c>
      <c r="B10" s="80"/>
      <c r="C10" s="79"/>
      <c r="D10" s="80"/>
      <c r="E10" s="79" t="s">
        <v>186</v>
      </c>
      <c r="F10" s="79"/>
      <c r="G10" s="80"/>
      <c r="H10" s="93" t="s">
        <v>286</v>
      </c>
      <c r="I10" s="139">
        <v>42168</v>
      </c>
      <c r="J10" s="32"/>
    </row>
    <row r="11" spans="1:10" x14ac:dyDescent="0.2">
      <c r="A11" s="142"/>
      <c r="B11" s="143"/>
      <c r="C11" s="143"/>
      <c r="D11" s="143"/>
      <c r="E11" s="143"/>
      <c r="F11" s="143"/>
      <c r="G11" s="143"/>
      <c r="H11" s="143"/>
      <c r="I11" s="140"/>
      <c r="J11" s="32"/>
    </row>
    <row r="12" spans="1:10" ht="23.45" customHeight="1" x14ac:dyDescent="0.2">
      <c r="A12" s="135" t="s">
        <v>245</v>
      </c>
      <c r="B12" s="136"/>
      <c r="C12" s="136"/>
      <c r="D12" s="136"/>
      <c r="E12" s="136"/>
      <c r="F12" s="136"/>
      <c r="G12" s="136"/>
      <c r="H12" s="136"/>
      <c r="I12" s="136"/>
    </row>
    <row r="13" spans="1:10" ht="26.45" customHeight="1" x14ac:dyDescent="0.2">
      <c r="A13" s="52" t="s">
        <v>246</v>
      </c>
      <c r="B13" s="137" t="s">
        <v>257</v>
      </c>
      <c r="C13" s="138"/>
      <c r="D13" s="52" t="s">
        <v>260</v>
      </c>
      <c r="E13" s="137" t="s">
        <v>269</v>
      </c>
      <c r="F13" s="138"/>
      <c r="G13" s="52" t="s">
        <v>270</v>
      </c>
      <c r="H13" s="137" t="s">
        <v>287</v>
      </c>
      <c r="I13" s="138"/>
      <c r="J13" s="32"/>
    </row>
    <row r="14" spans="1:10" ht="15.2" customHeight="1" x14ac:dyDescent="0.2">
      <c r="A14" s="53" t="s">
        <v>247</v>
      </c>
      <c r="B14" s="57" t="s">
        <v>258</v>
      </c>
      <c r="C14" s="71">
        <f>SUM('Stavební rozpočet'!R12:R87)</f>
        <v>0</v>
      </c>
      <c r="D14" s="133" t="s">
        <v>261</v>
      </c>
      <c r="E14" s="134"/>
      <c r="F14" s="60">
        <v>0</v>
      </c>
      <c r="G14" s="133" t="s">
        <v>271</v>
      </c>
      <c r="H14" s="134"/>
      <c r="I14" s="60">
        <v>0</v>
      </c>
      <c r="J14" s="32"/>
    </row>
    <row r="15" spans="1:10" ht="15.2" customHeight="1" x14ac:dyDescent="0.2">
      <c r="A15" s="54"/>
      <c r="B15" s="57" t="s">
        <v>187</v>
      </c>
      <c r="C15" s="71">
        <f>SUM('Stavební rozpočet'!S12:S87)</f>
        <v>0</v>
      </c>
      <c r="D15" s="133" t="s">
        <v>262</v>
      </c>
      <c r="E15" s="134"/>
      <c r="F15" s="60">
        <v>0</v>
      </c>
      <c r="G15" s="133" t="s">
        <v>272</v>
      </c>
      <c r="H15" s="134"/>
      <c r="I15" s="60">
        <v>0</v>
      </c>
      <c r="J15" s="32"/>
    </row>
    <row r="16" spans="1:10" ht="15.2" customHeight="1" x14ac:dyDescent="0.2">
      <c r="A16" s="53" t="s">
        <v>248</v>
      </c>
      <c r="B16" s="57" t="s">
        <v>258</v>
      </c>
      <c r="C16" s="71">
        <f>SUM('Stavební rozpočet'!T12:T87)</f>
        <v>0</v>
      </c>
      <c r="D16" s="133" t="s">
        <v>263</v>
      </c>
      <c r="E16" s="134"/>
      <c r="F16" s="60">
        <v>0</v>
      </c>
      <c r="G16" s="133" t="s">
        <v>273</v>
      </c>
      <c r="H16" s="134"/>
      <c r="I16" s="60">
        <v>0</v>
      </c>
      <c r="J16" s="32"/>
    </row>
    <row r="17" spans="1:10" ht="15.2" customHeight="1" x14ac:dyDescent="0.2">
      <c r="A17" s="54"/>
      <c r="B17" s="57" t="s">
        <v>187</v>
      </c>
      <c r="C17" s="71">
        <f>SUM('Stavební rozpočet'!U12:U87)</f>
        <v>0</v>
      </c>
      <c r="D17" s="133"/>
      <c r="E17" s="134"/>
      <c r="F17" s="61"/>
      <c r="G17" s="133" t="s">
        <v>274</v>
      </c>
      <c r="H17" s="134"/>
      <c r="I17" s="60">
        <v>0</v>
      </c>
      <c r="J17" s="32"/>
    </row>
    <row r="18" spans="1:10" ht="15.2" customHeight="1" x14ac:dyDescent="0.2">
      <c r="A18" s="53" t="s">
        <v>249</v>
      </c>
      <c r="B18" s="57" t="s">
        <v>258</v>
      </c>
      <c r="C18" s="60">
        <f>SUM('Stavební rozpočet'!V12:V87)</f>
        <v>0</v>
      </c>
      <c r="D18" s="133"/>
      <c r="E18" s="134"/>
      <c r="F18" s="61"/>
      <c r="G18" s="133" t="s">
        <v>275</v>
      </c>
      <c r="H18" s="134"/>
      <c r="I18" s="60">
        <v>0</v>
      </c>
      <c r="J18" s="32"/>
    </row>
    <row r="19" spans="1:10" ht="15.2" customHeight="1" x14ac:dyDescent="0.2">
      <c r="A19" s="54"/>
      <c r="B19" s="57" t="s">
        <v>187</v>
      </c>
      <c r="C19" s="60">
        <f>SUM('Stavební rozpočet'!W12:W87)</f>
        <v>0</v>
      </c>
      <c r="D19" s="133"/>
      <c r="E19" s="134"/>
      <c r="F19" s="61"/>
      <c r="G19" s="133" t="s">
        <v>276</v>
      </c>
      <c r="H19" s="134"/>
      <c r="I19" s="60">
        <v>0</v>
      </c>
      <c r="J19" s="32"/>
    </row>
    <row r="20" spans="1:10" ht="15.2" customHeight="1" x14ac:dyDescent="0.2">
      <c r="A20" s="131" t="s">
        <v>156</v>
      </c>
      <c r="B20" s="132"/>
      <c r="C20" s="71">
        <f>SUM('Stavební rozpočet'!X12:X87)</f>
        <v>0</v>
      </c>
      <c r="D20" s="133"/>
      <c r="E20" s="134"/>
      <c r="F20" s="61"/>
      <c r="G20" s="133"/>
      <c r="H20" s="134"/>
      <c r="I20" s="61"/>
      <c r="J20" s="32"/>
    </row>
    <row r="21" spans="1:10" ht="15.2" customHeight="1" x14ac:dyDescent="0.2">
      <c r="A21" s="131" t="s">
        <v>250</v>
      </c>
      <c r="B21" s="132"/>
      <c r="C21" s="71">
        <f>SUM('Stavební rozpočet'!P12:P87)</f>
        <v>0</v>
      </c>
      <c r="D21" s="133"/>
      <c r="E21" s="134"/>
      <c r="F21" s="61"/>
      <c r="G21" s="133"/>
      <c r="H21" s="134"/>
      <c r="I21" s="61"/>
      <c r="J21" s="32"/>
    </row>
    <row r="22" spans="1:10" ht="16.7" customHeight="1" x14ac:dyDescent="0.2">
      <c r="A22" s="131" t="s">
        <v>251</v>
      </c>
      <c r="B22" s="132"/>
      <c r="C22" s="71">
        <f>SUM(C14:C21)</f>
        <v>0</v>
      </c>
      <c r="D22" s="131" t="s">
        <v>264</v>
      </c>
      <c r="E22" s="132"/>
      <c r="F22" s="60">
        <f>SUM(F14:F21)</f>
        <v>0</v>
      </c>
      <c r="G22" s="131" t="s">
        <v>277</v>
      </c>
      <c r="H22" s="132"/>
      <c r="I22" s="60">
        <f>SUM(I14:I21)</f>
        <v>0</v>
      </c>
      <c r="J22" s="32"/>
    </row>
    <row r="23" spans="1:10" ht="15.2" customHeight="1" x14ac:dyDescent="0.2">
      <c r="A23" s="8"/>
      <c r="B23" s="8"/>
      <c r="C23" s="58"/>
      <c r="D23" s="131" t="s">
        <v>265</v>
      </c>
      <c r="E23" s="132"/>
      <c r="F23" s="62">
        <v>0</v>
      </c>
      <c r="G23" s="131" t="s">
        <v>278</v>
      </c>
      <c r="H23" s="132"/>
      <c r="I23" s="60">
        <v>0</v>
      </c>
      <c r="J23" s="32"/>
    </row>
    <row r="24" spans="1:10" ht="15.2" customHeight="1" x14ac:dyDescent="0.2">
      <c r="D24" s="8"/>
      <c r="E24" s="8"/>
      <c r="F24" s="63"/>
      <c r="G24" s="131" t="s">
        <v>279</v>
      </c>
      <c r="H24" s="132"/>
      <c r="I24" s="65"/>
    </row>
    <row r="25" spans="1:10" ht="15.2" customHeight="1" x14ac:dyDescent="0.2">
      <c r="F25" s="64"/>
      <c r="G25" s="131" t="s">
        <v>280</v>
      </c>
      <c r="H25" s="132"/>
      <c r="I25" s="60">
        <v>0</v>
      </c>
      <c r="J25" s="32"/>
    </row>
    <row r="26" spans="1:10" x14ac:dyDescent="0.2">
      <c r="A26" s="7"/>
      <c r="B26" s="7"/>
      <c r="C26" s="7"/>
      <c r="G26" s="8"/>
      <c r="H26" s="8"/>
      <c r="I26" s="8"/>
    </row>
    <row r="27" spans="1:10" ht="15.2" customHeight="1" x14ac:dyDescent="0.2">
      <c r="A27" s="123" t="s">
        <v>252</v>
      </c>
      <c r="B27" s="124"/>
      <c r="C27" s="66">
        <f>SUM('Stavební rozpočet'!Z12:Z87)</f>
        <v>0</v>
      </c>
      <c r="D27" s="59"/>
      <c r="E27" s="7"/>
      <c r="F27" s="7"/>
      <c r="G27" s="7"/>
      <c r="H27" s="7"/>
      <c r="I27" s="7"/>
    </row>
    <row r="28" spans="1:10" ht="15.2" customHeight="1" x14ac:dyDescent="0.2">
      <c r="A28" s="123" t="s">
        <v>253</v>
      </c>
      <c r="B28" s="124"/>
      <c r="C28" s="66">
        <f>SUM('Stavební rozpočet'!AA12:AA87)</f>
        <v>0</v>
      </c>
      <c r="D28" s="123" t="s">
        <v>266</v>
      </c>
      <c r="E28" s="124"/>
      <c r="F28" s="72">
        <f>ROUND(C28*(15/100),2)</f>
        <v>0</v>
      </c>
      <c r="G28" s="123" t="s">
        <v>281</v>
      </c>
      <c r="H28" s="124"/>
      <c r="I28" s="72">
        <f>SUM(C27:C29)</f>
        <v>0</v>
      </c>
      <c r="J28" s="32"/>
    </row>
    <row r="29" spans="1:10" ht="15.2" customHeight="1" x14ac:dyDescent="0.2">
      <c r="A29" s="123" t="s">
        <v>254</v>
      </c>
      <c r="B29" s="124"/>
      <c r="C29" s="66">
        <f>SUM('Stavební rozpočet'!AB12:AB87)+(F22+I22+F23+I23+I24+I25)</f>
        <v>0</v>
      </c>
      <c r="D29" s="123" t="s">
        <v>267</v>
      </c>
      <c r="E29" s="124"/>
      <c r="F29" s="72">
        <f>ROUND(C29*(21/100),2)</f>
        <v>0</v>
      </c>
      <c r="G29" s="123" t="s">
        <v>282</v>
      </c>
      <c r="H29" s="124"/>
      <c r="I29" s="72">
        <f>SUM(F28:F29)+I28</f>
        <v>0</v>
      </c>
      <c r="J29" s="32"/>
    </row>
    <row r="30" spans="1:10" x14ac:dyDescent="0.2">
      <c r="A30" s="55"/>
      <c r="B30" s="55"/>
      <c r="C30" s="55"/>
      <c r="D30" s="55"/>
      <c r="E30" s="55"/>
      <c r="F30" s="55"/>
      <c r="G30" s="55"/>
      <c r="H30" s="55"/>
      <c r="I30" s="55"/>
    </row>
    <row r="31" spans="1:10" ht="14.45" customHeight="1" x14ac:dyDescent="0.2">
      <c r="A31" s="125" t="s">
        <v>255</v>
      </c>
      <c r="B31" s="126"/>
      <c r="C31" s="127"/>
      <c r="D31" s="125" t="s">
        <v>268</v>
      </c>
      <c r="E31" s="126"/>
      <c r="F31" s="127"/>
      <c r="G31" s="128" t="s">
        <v>283</v>
      </c>
      <c r="H31" s="129"/>
      <c r="I31" s="130"/>
      <c r="J31" s="33"/>
    </row>
    <row r="32" spans="1:10" ht="14.45" customHeight="1" x14ac:dyDescent="0.2">
      <c r="A32" s="111"/>
      <c r="B32" s="112"/>
      <c r="C32" s="113"/>
      <c r="D32" s="111"/>
      <c r="E32" s="112"/>
      <c r="F32" s="113"/>
      <c r="G32" s="114"/>
      <c r="H32" s="115"/>
      <c r="I32" s="116"/>
      <c r="J32" s="33"/>
    </row>
    <row r="33" spans="1:10" ht="14.45" customHeight="1" x14ac:dyDescent="0.2">
      <c r="A33" s="111"/>
      <c r="B33" s="112"/>
      <c r="C33" s="113"/>
      <c r="D33" s="111"/>
      <c r="E33" s="112"/>
      <c r="F33" s="113"/>
      <c r="G33" s="114"/>
      <c r="H33" s="115"/>
      <c r="I33" s="116"/>
      <c r="J33" s="33"/>
    </row>
    <row r="34" spans="1:10" ht="14.45" customHeight="1" x14ac:dyDescent="0.2">
      <c r="A34" s="111"/>
      <c r="B34" s="112"/>
      <c r="C34" s="113"/>
      <c r="D34" s="111"/>
      <c r="E34" s="112"/>
      <c r="F34" s="113"/>
      <c r="G34" s="114"/>
      <c r="H34" s="115"/>
      <c r="I34" s="116"/>
      <c r="J34" s="33"/>
    </row>
    <row r="35" spans="1:10" ht="14.45" customHeight="1" x14ac:dyDescent="0.2">
      <c r="A35" s="117" t="s">
        <v>256</v>
      </c>
      <c r="B35" s="118"/>
      <c r="C35" s="119"/>
      <c r="D35" s="117" t="s">
        <v>256</v>
      </c>
      <c r="E35" s="118"/>
      <c r="F35" s="119"/>
      <c r="G35" s="120" t="s">
        <v>256</v>
      </c>
      <c r="H35" s="121"/>
      <c r="I35" s="122"/>
      <c r="J35" s="33"/>
    </row>
    <row r="36" spans="1:10" ht="11.25" customHeight="1" x14ac:dyDescent="0.2">
      <c r="A36" s="56" t="s">
        <v>46</v>
      </c>
      <c r="B36" s="45"/>
      <c r="C36" s="45"/>
      <c r="D36" s="45"/>
      <c r="E36" s="45"/>
      <c r="F36" s="45"/>
      <c r="G36" s="45"/>
      <c r="H36" s="45"/>
      <c r="I36" s="45"/>
    </row>
    <row r="37" spans="1:10" ht="409.6" hidden="1" customHeight="1" x14ac:dyDescent="0.2">
      <c r="A37" s="79"/>
      <c r="B37" s="80"/>
      <c r="C37" s="80"/>
      <c r="D37" s="80"/>
      <c r="E37" s="80"/>
      <c r="F37" s="80"/>
      <c r="G37" s="80"/>
      <c r="H37" s="80"/>
      <c r="I37" s="80"/>
    </row>
  </sheetData>
  <mergeCells count="83">
    <mergeCell ref="C1:I1"/>
    <mergeCell ref="A2:B3"/>
    <mergeCell ref="C2:D3"/>
    <mergeCell ref="E2:E3"/>
    <mergeCell ref="F2:G3"/>
    <mergeCell ref="H2:H3"/>
    <mergeCell ref="I2:I3"/>
    <mergeCell ref="I6:I7"/>
    <mergeCell ref="A4:B5"/>
    <mergeCell ref="C4:D5"/>
    <mergeCell ref="E4:E5"/>
    <mergeCell ref="F4:G5"/>
    <mergeCell ref="H4:H5"/>
    <mergeCell ref="I4:I5"/>
    <mergeCell ref="A6:B7"/>
    <mergeCell ref="C6:D7"/>
    <mergeCell ref="E6:E7"/>
    <mergeCell ref="F6:G7"/>
    <mergeCell ref="H6:H7"/>
    <mergeCell ref="I10:I11"/>
    <mergeCell ref="A8:B9"/>
    <mergeCell ref="C8:D9"/>
    <mergeCell ref="E8:E9"/>
    <mergeCell ref="F8:G9"/>
    <mergeCell ref="H8:H9"/>
    <mergeCell ref="I8:I9"/>
    <mergeCell ref="A10:B11"/>
    <mergeCell ref="C10:D11"/>
    <mergeCell ref="E10:E11"/>
    <mergeCell ref="F10:G11"/>
    <mergeCell ref="H10:H11"/>
    <mergeCell ref="A12:I12"/>
    <mergeCell ref="B13:C13"/>
    <mergeCell ref="E13:F13"/>
    <mergeCell ref="H13:I13"/>
    <mergeCell ref="D14:E14"/>
    <mergeCell ref="G14:H14"/>
    <mergeCell ref="D15:E15"/>
    <mergeCell ref="G15:H15"/>
    <mergeCell ref="D16:E16"/>
    <mergeCell ref="G16:H16"/>
    <mergeCell ref="D17:E17"/>
    <mergeCell ref="G17:H17"/>
    <mergeCell ref="D18:E18"/>
    <mergeCell ref="G18:H18"/>
    <mergeCell ref="D19:E19"/>
    <mergeCell ref="G19:H19"/>
    <mergeCell ref="A20:B20"/>
    <mergeCell ref="D20:E20"/>
    <mergeCell ref="G20:H20"/>
    <mergeCell ref="A28:B28"/>
    <mergeCell ref="D28:E28"/>
    <mergeCell ref="G28:H28"/>
    <mergeCell ref="A21:B21"/>
    <mergeCell ref="D21:E21"/>
    <mergeCell ref="G21:H21"/>
    <mergeCell ref="A22:B22"/>
    <mergeCell ref="D22:E22"/>
    <mergeCell ref="G22:H22"/>
    <mergeCell ref="D23:E23"/>
    <mergeCell ref="G23:H23"/>
    <mergeCell ref="G24:H24"/>
    <mergeCell ref="G25:H25"/>
    <mergeCell ref="A27:B27"/>
    <mergeCell ref="A29:B29"/>
    <mergeCell ref="D29:E29"/>
    <mergeCell ref="G29:H29"/>
    <mergeCell ref="A31:C31"/>
    <mergeCell ref="D31:F31"/>
    <mergeCell ref="G31:I31"/>
    <mergeCell ref="A32:C32"/>
    <mergeCell ref="D32:F32"/>
    <mergeCell ref="G32:I32"/>
    <mergeCell ref="A33:C33"/>
    <mergeCell ref="D33:F33"/>
    <mergeCell ref="G33:I33"/>
    <mergeCell ref="A37:I37"/>
    <mergeCell ref="A34:C34"/>
    <mergeCell ref="D34:F34"/>
    <mergeCell ref="G34:I34"/>
    <mergeCell ref="A35:C35"/>
    <mergeCell ref="D35:F35"/>
    <mergeCell ref="G35:I35"/>
  </mergeCells>
  <pageMargins left="0.39400000000000002" right="0.39400000000000002" top="0.59099999999999997" bottom="0.59099999999999997" header="0.5" footer="0.5"/>
  <pageSetup paperSize="0" fitToHeight="0"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Stavební rozpočet</vt:lpstr>
      <vt:lpstr>Stavební rozpočet - součet</vt:lpstr>
      <vt:lpstr>Výkaz výměr</vt:lpstr>
      <vt:lpstr>Harmonogram</vt:lpstr>
      <vt:lpstr>Čerpání rozpočtu</vt:lpstr>
      <vt:lpstr>Krycí list rozpočtu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dc:creator>
  <cp:lastModifiedBy>jana</cp:lastModifiedBy>
  <dcterms:created xsi:type="dcterms:W3CDTF">2015-06-24T17:13:46Z</dcterms:created>
  <dcterms:modified xsi:type="dcterms:W3CDTF">2015-06-29T10:30:15Z</dcterms:modified>
</cp:coreProperties>
</file>