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465" windowWidth="20745" windowHeight="9540" activeTab="4"/>
  </bookViews>
  <sheets>
    <sheet name="Tabulka č. 1" sheetId="7" r:id="rId1"/>
    <sheet name="Tabulka č. 2" sheetId="8" r:id="rId2"/>
    <sheet name="Tabulka č. 3" sheetId="9" r:id="rId3"/>
    <sheet name="Tabulka č. 4" sheetId="10" r:id="rId4"/>
    <sheet name="Tabulka č. 5" sheetId="6" r:id="rId5"/>
  </sheets>
  <definedNames>
    <definedName name="_xlnm.Print_Area" localSheetId="4">'Tabulka č. 5'!$A$1:$I$18</definedName>
  </definedNames>
  <calcPr calcId="171026"/>
  <extLst/>
</workbook>
</file>

<file path=xl/sharedStrings.xml><?xml version="1.0" encoding="utf-8"?>
<sst xmlns="http://schemas.openxmlformats.org/spreadsheetml/2006/main" count="123" uniqueCount="51">
  <si>
    <t>Název zboží</t>
  </si>
  <si>
    <t>Varianta</t>
  </si>
  <si>
    <t>zelená</t>
  </si>
  <si>
    <t>bílá</t>
  </si>
  <si>
    <t>Cena bez DPH (za 1 ks)</t>
  </si>
  <si>
    <t>Počet ks/rok</t>
  </si>
  <si>
    <t>modré</t>
  </si>
  <si>
    <t>modrý</t>
  </si>
  <si>
    <t xml:space="preserve">bílý </t>
  </si>
  <si>
    <t>žlutý</t>
  </si>
  <si>
    <t xml:space="preserve">bílá </t>
  </si>
  <si>
    <t>bílé</t>
  </si>
  <si>
    <t>žluté</t>
  </si>
  <si>
    <t>datum:</t>
  </si>
  <si>
    <t>………………………………..</t>
  </si>
  <si>
    <t>Název</t>
  </si>
  <si>
    <t>rovné prádlo</t>
  </si>
  <si>
    <t>závěsy  cca 2x4m</t>
  </si>
  <si>
    <t>ostatní prádlo</t>
  </si>
  <si>
    <t xml:space="preserve">dekuba </t>
  </si>
  <si>
    <t>polštář prošívaný</t>
  </si>
  <si>
    <t>přikrývka, deka</t>
  </si>
  <si>
    <t>mopy</t>
  </si>
  <si>
    <t>punčochy elastické</t>
  </si>
  <si>
    <t>Celk. cena bez DPH za 1 rok</t>
  </si>
  <si>
    <t>Celk. cena vč. DPH za 1 rok</t>
  </si>
  <si>
    <t>Cena za komplexní servis za 1 rok</t>
  </si>
  <si>
    <t>Cena za komplexní servis za 4 roky</t>
  </si>
  <si>
    <t>DPH v Kč</t>
  </si>
  <si>
    <t>Celkem DPH v Kč</t>
  </si>
  <si>
    <t>Cena celkem za praní a chemické čištění za 1 rok</t>
  </si>
  <si>
    <t>Cena celkem za praní a chemické čištění za 4 roky</t>
  </si>
  <si>
    <t>Cena s DPH (za 1 ks)</t>
  </si>
  <si>
    <t>Tabulka č. 2 - Sortiment a ceník nesystémového prádla v nemocnici Karlovy Vary</t>
  </si>
  <si>
    <t>Tabulka č. 4 - Sortiment a ceník nesystémového prádla v nemocnici Cheb</t>
  </si>
  <si>
    <t xml:space="preserve">Tabulka č. 5 - Sortiment a ceník prádla na praní a chemické čištění    </t>
  </si>
  <si>
    <t>Celková cena bez DPH za 1 rok</t>
  </si>
  <si>
    <t>z toho cena bez DPH za pronájem prádla (za 1 ks)</t>
  </si>
  <si>
    <t>z toho celková cena bez DPH za pronájem</t>
  </si>
  <si>
    <t>Tabulka č. 1 - Sortiment a ceník systémového prádla v nemocnici Karlovy Vary</t>
  </si>
  <si>
    <t>Tabulka č. 3 - Sortiment a ceník systémového prádla v nemocnici Cheb</t>
  </si>
  <si>
    <t>Kód zboží Poskytovatele</t>
  </si>
  <si>
    <t>Příloha č. 1</t>
  </si>
  <si>
    <t>razítko a podpis oprávněné osoby</t>
  </si>
  <si>
    <t>z toho cena bez DPH za praní prádla (za 1 ks)</t>
  </si>
  <si>
    <t>z toho celková cena bez DPH za praní prádla</t>
  </si>
  <si>
    <t>z toho celková cena bez DPH za pronájem prádla</t>
  </si>
  <si>
    <t xml:space="preserve">žlutá </t>
  </si>
  <si>
    <t xml:space="preserve">fialové </t>
  </si>
  <si>
    <t xml:space="preserve"> </t>
  </si>
  <si>
    <t>šaty dámské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</si>
</sst>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4">
    <xf numFmtId="0" fontId="0" fillId="0" borderId="0" xfId="0"/>
    <xf numFmtId="0" fontId="18" fillId="0" borderId="0" xfId="0" applyFont="1" applyAlignment="1">
      <alignment/>
    </xf>
    <xf numFmtId="0" fontId="16" fillId="0" borderId="0" xfId="0" applyFont="1"/>
    <xf numFmtId="1" fontId="0" fillId="0" borderId="10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16" fillId="30" borderId="16" xfId="0" applyNumberFormat="1" applyFont="1" applyFill="1" applyBorder="1"/>
    <xf numFmtId="0" fontId="0" fillId="0" borderId="0" xfId="0" applyFill="1"/>
    <xf numFmtId="0" fontId="16" fillId="0" borderId="0" xfId="0" applyFont="1" applyFill="1"/>
    <xf numFmtId="0" fontId="16" fillId="30" borderId="17" xfId="0" applyFont="1" applyFill="1" applyBorder="1" applyAlignment="1">
      <alignment horizontal="center" vertical="center"/>
    </xf>
    <xf numFmtId="2" fontId="0" fillId="0" borderId="10" xfId="0" applyNumberFormat="1" applyBorder="1"/>
    <xf numFmtId="3" fontId="0" fillId="0" borderId="10" xfId="0" applyNumberFormat="1" applyBorder="1"/>
    <xf numFmtId="2" fontId="0" fillId="0" borderId="18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13" xfId="0" applyNumberFormat="1" applyBorder="1"/>
    <xf numFmtId="2" fontId="0" fillId="0" borderId="19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Font="1"/>
    <xf numFmtId="2" fontId="0" fillId="0" borderId="10" xfId="0" applyNumberFormat="1" applyFont="1" applyBorder="1"/>
    <xf numFmtId="3" fontId="0" fillId="0" borderId="10" xfId="0" applyNumberFormat="1" applyFont="1" applyBorder="1"/>
    <xf numFmtId="3" fontId="0" fillId="0" borderId="13" xfId="0" applyNumberFormat="1" applyFont="1" applyBorder="1"/>
    <xf numFmtId="2" fontId="0" fillId="0" borderId="19" xfId="0" applyNumberFormat="1" applyFont="1" applyBorder="1"/>
    <xf numFmtId="3" fontId="0" fillId="0" borderId="19" xfId="0" applyNumberFormat="1" applyFont="1" applyBorder="1"/>
    <xf numFmtId="3" fontId="0" fillId="0" borderId="20" xfId="0" applyNumberFormat="1" applyFont="1" applyBorder="1"/>
    <xf numFmtId="0" fontId="20" fillId="30" borderId="21" xfId="0" applyFont="1" applyFill="1" applyBorder="1" applyAlignment="1">
      <alignment horizontal="center" vertical="center" wrapText="1"/>
    </xf>
    <xf numFmtId="0" fontId="20" fillId="30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0" xfId="0" applyFont="1" applyFill="1"/>
    <xf numFmtId="3" fontId="21" fillId="30" borderId="17" xfId="0" applyNumberFormat="1" applyFont="1" applyFill="1" applyBorder="1"/>
    <xf numFmtId="0" fontId="20" fillId="30" borderId="24" xfId="0" applyFont="1" applyFill="1" applyBorder="1" applyAlignment="1">
      <alignment horizontal="center" vertical="center" wrapText="1"/>
    </xf>
    <xf numFmtId="2" fontId="0" fillId="0" borderId="25" xfId="0" applyNumberFormat="1" applyFont="1" applyBorder="1"/>
    <xf numFmtId="3" fontId="0" fillId="0" borderId="25" xfId="0" applyNumberFormat="1" applyFont="1" applyBorder="1"/>
    <xf numFmtId="2" fontId="0" fillId="0" borderId="26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3" fontId="24" fillId="0" borderId="26" xfId="0" applyNumberFormat="1" applyFont="1" applyFill="1" applyBorder="1" applyAlignment="1">
      <alignment horizontal="center"/>
    </xf>
    <xf numFmtId="3" fontId="24" fillId="0" borderId="25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Protection="1">
      <protection/>
    </xf>
    <xf numFmtId="0" fontId="18" fillId="0" borderId="0" xfId="0" applyFont="1" applyAlignment="1" applyProtection="1">
      <alignment horizontal="center"/>
      <protection/>
    </xf>
    <xf numFmtId="0" fontId="16" fillId="30" borderId="24" xfId="0" applyFont="1" applyFill="1" applyBorder="1" applyAlignment="1" applyProtection="1">
      <alignment horizontal="center" vertical="center" wrapText="1"/>
      <protection/>
    </xf>
    <xf numFmtId="0" fontId="16" fillId="30" borderId="22" xfId="0" applyFont="1" applyFill="1" applyBorder="1" applyAlignment="1" applyProtection="1">
      <alignment horizontal="center" vertical="center" wrapText="1"/>
      <protection/>
    </xf>
    <xf numFmtId="0" fontId="20" fillId="30" borderId="30" xfId="0" applyFont="1" applyFill="1" applyBorder="1" applyAlignment="1" applyProtection="1">
      <alignment horizontal="center" vertical="center" wrapText="1"/>
      <protection/>
    </xf>
    <xf numFmtId="0" fontId="20" fillId="30" borderId="21" xfId="0" applyFont="1" applyFill="1" applyBorder="1" applyAlignment="1" applyProtection="1">
      <alignment horizontal="center" vertical="center" wrapText="1"/>
      <protection/>
    </xf>
    <xf numFmtId="0" fontId="20" fillId="30" borderId="22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2" fontId="0" fillId="0" borderId="18" xfId="0" applyNumberFormat="1" applyBorder="1" applyProtection="1">
      <protection/>
    </xf>
    <xf numFmtId="3" fontId="0" fillId="0" borderId="18" xfId="0" applyNumberFormat="1" applyBorder="1" applyAlignment="1" applyProtection="1">
      <alignment horizontal="center"/>
      <protection/>
    </xf>
    <xf numFmtId="3" fontId="0" fillId="0" borderId="18" xfId="0" applyNumberFormat="1" applyBorder="1" applyProtection="1">
      <protection/>
    </xf>
    <xf numFmtId="3" fontId="0" fillId="0" borderId="15" xfId="0" applyNumberFormat="1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2" fontId="0" fillId="0" borderId="10" xfId="0" applyNumberFormat="1" applyBorder="1" applyProtection="1">
      <protection/>
    </xf>
    <xf numFmtId="3" fontId="0" fillId="0" borderId="10" xfId="0" applyNumberFormat="1" applyBorder="1" applyAlignment="1" applyProtection="1">
      <alignment horizontal="center"/>
      <protection/>
    </xf>
    <xf numFmtId="3" fontId="0" fillId="0" borderId="10" xfId="0" applyNumberFormat="1" applyBorder="1" applyProtection="1">
      <protection/>
    </xf>
    <xf numFmtId="3" fontId="0" fillId="0" borderId="13" xfId="0" applyNumberFormat="1" applyBorder="1" applyProtection="1">
      <protection/>
    </xf>
    <xf numFmtId="0" fontId="0" fillId="0" borderId="29" xfId="0" applyBorder="1" applyProtection="1">
      <protection/>
    </xf>
    <xf numFmtId="0" fontId="0" fillId="0" borderId="20" xfId="0" applyBorder="1" applyProtection="1">
      <protection/>
    </xf>
    <xf numFmtId="2" fontId="0" fillId="0" borderId="19" xfId="0" applyNumberFormat="1" applyBorder="1" applyProtection="1">
      <protection/>
    </xf>
    <xf numFmtId="3" fontId="0" fillId="0" borderId="19" xfId="0" applyNumberFormat="1" applyBorder="1" applyAlignment="1" applyProtection="1">
      <alignment horizontal="center"/>
      <protection/>
    </xf>
    <xf numFmtId="3" fontId="0" fillId="0" borderId="19" xfId="0" applyNumberFormat="1" applyBorder="1" applyProtection="1">
      <protection/>
    </xf>
    <xf numFmtId="3" fontId="0" fillId="0" borderId="20" xfId="0" applyNumberFormat="1" applyBorder="1" applyProtection="1">
      <protection/>
    </xf>
    <xf numFmtId="0" fontId="16" fillId="0" borderId="0" xfId="0" applyFont="1" applyFill="1" applyProtection="1">
      <protection/>
    </xf>
    <xf numFmtId="3" fontId="16" fillId="30" borderId="16" xfId="0" applyNumberFormat="1" applyFont="1" applyFill="1" applyBorder="1" applyProtection="1">
      <protection/>
    </xf>
    <xf numFmtId="0" fontId="16" fillId="0" borderId="0" xfId="0" applyFont="1" applyProtection="1">
      <protection/>
    </xf>
    <xf numFmtId="3" fontId="16" fillId="33" borderId="31" xfId="0" applyNumberFormat="1" applyFont="1" applyFill="1" applyBorder="1" applyProtection="1">
      <protection/>
    </xf>
    <xf numFmtId="3" fontId="16" fillId="33" borderId="32" xfId="0" applyNumberFormat="1" applyFont="1" applyFill="1" applyBorder="1" applyProtection="1">
      <protection/>
    </xf>
    <xf numFmtId="3" fontId="16" fillId="33" borderId="33" xfId="0" applyNumberFormat="1" applyFont="1" applyFill="1" applyBorder="1" applyProtection="1">
      <protection/>
    </xf>
    <xf numFmtId="3" fontId="16" fillId="33" borderId="16" xfId="0" applyNumberFormat="1" applyFont="1" applyFill="1" applyBorder="1" applyProtection="1">
      <protection/>
    </xf>
    <xf numFmtId="3" fontId="16" fillId="33" borderId="17" xfId="0" applyNumberFormat="1" applyFont="1" applyFill="1" applyBorder="1" applyProtection="1">
      <protection/>
    </xf>
    <xf numFmtId="3" fontId="16" fillId="33" borderId="34" xfId="0" applyNumberFormat="1" applyFont="1" applyFill="1" applyBorder="1" applyProtection="1">
      <protection/>
    </xf>
    <xf numFmtId="3" fontId="16" fillId="33" borderId="31" xfId="0" applyNumberFormat="1" applyFont="1" applyFill="1" applyBorder="1"/>
    <xf numFmtId="3" fontId="16" fillId="33" borderId="16" xfId="0" applyNumberFormat="1" applyFont="1" applyFill="1" applyBorder="1"/>
    <xf numFmtId="3" fontId="16" fillId="33" borderId="17" xfId="0" applyNumberFormat="1" applyFont="1" applyFill="1" applyBorder="1"/>
    <xf numFmtId="0" fontId="16" fillId="30" borderId="35" xfId="0" applyFont="1" applyFill="1" applyBorder="1" applyAlignment="1" applyProtection="1">
      <alignment horizontal="center" vertical="center" wrapText="1"/>
      <protection/>
    </xf>
    <xf numFmtId="2" fontId="0" fillId="34" borderId="19" xfId="0" applyNumberFormat="1" applyFill="1" applyBorder="1" applyProtection="1">
      <protection locked="0"/>
    </xf>
    <xf numFmtId="0" fontId="0" fillId="34" borderId="36" xfId="0" applyFill="1" applyBorder="1" applyProtection="1"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2" fontId="24" fillId="34" borderId="26" xfId="0" applyNumberFormat="1" applyFont="1" applyFill="1" applyBorder="1" applyProtection="1">
      <protection locked="0"/>
    </xf>
    <xf numFmtId="0" fontId="0" fillId="34" borderId="37" xfId="0" applyFont="1" applyFill="1" applyBorder="1" applyAlignment="1" applyProtection="1">
      <alignment vertical="center"/>
      <protection locked="0"/>
    </xf>
    <xf numFmtId="2" fontId="24" fillId="34" borderId="25" xfId="0" applyNumberFormat="1" applyFont="1" applyFill="1" applyBorder="1" applyProtection="1">
      <protection locked="0"/>
    </xf>
    <xf numFmtId="0" fontId="0" fillId="34" borderId="38" xfId="0" applyFont="1" applyFill="1" applyBorder="1" applyAlignment="1" applyProtection="1">
      <alignment vertical="center"/>
      <protection locked="0"/>
    </xf>
    <xf numFmtId="2" fontId="24" fillId="34" borderId="10" xfId="0" applyNumberFormat="1" applyFont="1" applyFill="1" applyBorder="1" applyProtection="1">
      <protection locked="0"/>
    </xf>
    <xf numFmtId="0" fontId="0" fillId="34" borderId="39" xfId="0" applyFont="1" applyFill="1" applyBorder="1" applyAlignment="1" applyProtection="1">
      <alignment vertical="center"/>
      <protection locked="0"/>
    </xf>
    <xf numFmtId="2" fontId="24" fillId="34" borderId="19" xfId="0" applyNumberFormat="1" applyFont="1" applyFill="1" applyBorder="1" applyProtection="1">
      <protection locked="0"/>
    </xf>
    <xf numFmtId="3" fontId="21" fillId="33" borderId="32" xfId="0" applyNumberFormat="1" applyFont="1" applyFill="1" applyBorder="1"/>
    <xf numFmtId="3" fontId="21" fillId="33" borderId="17" xfId="0" applyNumberFormat="1" applyFont="1" applyFill="1" applyBorder="1"/>
    <xf numFmtId="0" fontId="25" fillId="0" borderId="0" xfId="0" applyFont="1" applyProtection="1">
      <protection/>
    </xf>
    <xf numFmtId="3" fontId="16" fillId="33" borderId="32" xfId="0" applyNumberFormat="1" applyFont="1" applyFill="1" applyBorder="1"/>
    <xf numFmtId="0" fontId="0" fillId="0" borderId="40" xfId="0" applyBorder="1"/>
    <xf numFmtId="3" fontId="0" fillId="0" borderId="0" xfId="0" applyNumberFormat="1" applyProtection="1">
      <protection/>
    </xf>
    <xf numFmtId="3" fontId="0" fillId="0" borderId="0" xfId="0" applyNumberFormat="1"/>
    <xf numFmtId="1" fontId="0" fillId="0" borderId="10" xfId="0" applyNumberForma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0" fontId="0" fillId="0" borderId="12" xfId="0" applyFill="1" applyBorder="1"/>
    <xf numFmtId="0" fontId="0" fillId="0" borderId="13" xfId="0" applyFill="1" applyBorder="1"/>
    <xf numFmtId="2" fontId="0" fillId="0" borderId="10" xfId="0" applyNumberFormat="1" applyFill="1" applyBorder="1"/>
    <xf numFmtId="1" fontId="0" fillId="0" borderId="10" xfId="0" applyNumberForma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/>
    <xf numFmtId="3" fontId="0" fillId="0" borderId="13" xfId="0" applyNumberFormat="1" applyFill="1" applyBorder="1"/>
    <xf numFmtId="0" fontId="0" fillId="0" borderId="29" xfId="0" applyFill="1" applyBorder="1"/>
    <xf numFmtId="0" fontId="0" fillId="0" borderId="20" xfId="0" applyFill="1" applyBorder="1"/>
    <xf numFmtId="2" fontId="0" fillId="0" borderId="19" xfId="0" applyNumberFormat="1" applyFill="1" applyBorder="1"/>
    <xf numFmtId="1" fontId="0" fillId="0" borderId="19" xfId="0" applyNumberFormat="1" applyFill="1" applyBorder="1" applyAlignment="1" applyProtection="1">
      <alignment horizontal="center" vertical="center"/>
      <protection/>
    </xf>
    <xf numFmtId="3" fontId="0" fillId="0" borderId="19" xfId="0" applyNumberFormat="1" applyFill="1" applyBorder="1"/>
    <xf numFmtId="3" fontId="0" fillId="0" borderId="20" xfId="0" applyNumberFormat="1" applyFill="1" applyBorder="1"/>
    <xf numFmtId="0" fontId="0" fillId="0" borderId="11" xfId="0" applyFill="1" applyBorder="1"/>
    <xf numFmtId="1" fontId="0" fillId="0" borderId="10" xfId="0" applyNumberFormat="1" applyFill="1" applyBorder="1" applyAlignment="1">
      <alignment horizontal="center"/>
    </xf>
    <xf numFmtId="0" fontId="0" fillId="0" borderId="41" xfId="0" applyFill="1" applyBorder="1"/>
    <xf numFmtId="2" fontId="0" fillId="0" borderId="25" xfId="0" applyNumberFormat="1" applyFill="1" applyBorder="1"/>
    <xf numFmtId="1" fontId="0" fillId="0" borderId="25" xfId="0" applyNumberFormat="1" applyFill="1" applyBorder="1" applyAlignment="1">
      <alignment horizontal="center"/>
    </xf>
    <xf numFmtId="3" fontId="0" fillId="0" borderId="25" xfId="0" applyNumberFormat="1" applyFill="1" applyBorder="1"/>
    <xf numFmtId="3" fontId="0" fillId="0" borderId="27" xfId="0" applyNumberFormat="1" applyFill="1" applyBorder="1"/>
    <xf numFmtId="0" fontId="0" fillId="0" borderId="12" xfId="0" applyFill="1" applyBorder="1" applyProtection="1">
      <protection/>
    </xf>
    <xf numFmtId="0" fontId="0" fillId="0" borderId="13" xfId="0" applyFill="1" applyBorder="1" applyProtection="1">
      <protection/>
    </xf>
    <xf numFmtId="2" fontId="0" fillId="0" borderId="10" xfId="0" applyNumberFormat="1" applyFill="1" applyBorder="1" applyProtection="1">
      <protection/>
    </xf>
    <xf numFmtId="3" fontId="0" fillId="0" borderId="10" xfId="0" applyNumberFormat="1" applyFill="1" applyBorder="1" applyAlignment="1" applyProtection="1">
      <alignment horizontal="center"/>
      <protection/>
    </xf>
    <xf numFmtId="3" fontId="0" fillId="0" borderId="10" xfId="0" applyNumberFormat="1" applyFill="1" applyBorder="1" applyProtection="1">
      <protection/>
    </xf>
    <xf numFmtId="3" fontId="0" fillId="0" borderId="13" xfId="0" applyNumberFormat="1" applyFill="1" applyBorder="1" applyProtection="1">
      <protection/>
    </xf>
    <xf numFmtId="0" fontId="0" fillId="34" borderId="42" xfId="0" applyFill="1" applyBorder="1" applyProtection="1">
      <protection locked="0"/>
    </xf>
    <xf numFmtId="2" fontId="0" fillId="34" borderId="18" xfId="0" applyNumberFormat="1" applyFill="1" applyBorder="1" applyProtection="1">
      <protection locked="0"/>
    </xf>
    <xf numFmtId="2" fontId="0" fillId="34" borderId="43" xfId="0" applyNumberFormat="1" applyFill="1" applyBorder="1" applyProtection="1">
      <protection locked="0"/>
    </xf>
    <xf numFmtId="0" fontId="0" fillId="34" borderId="44" xfId="0" applyFill="1" applyBorder="1" applyProtection="1">
      <protection locked="0"/>
    </xf>
    <xf numFmtId="2" fontId="0" fillId="34" borderId="10" xfId="0" applyNumberFormat="1" applyFill="1" applyBorder="1" applyProtection="1">
      <protection locked="0"/>
    </xf>
    <xf numFmtId="2" fontId="0" fillId="34" borderId="38" xfId="0" applyNumberFormat="1" applyFill="1" applyBorder="1" applyProtection="1">
      <protection locked="0"/>
    </xf>
    <xf numFmtId="2" fontId="0" fillId="34" borderId="39" xfId="0" applyNumberFormat="1" applyFill="1" applyBorder="1" applyProtection="1">
      <protection locked="0"/>
    </xf>
    <xf numFmtId="0" fontId="0" fillId="34" borderId="45" xfId="0" applyFill="1" applyBorder="1" applyProtection="1">
      <protection locked="0"/>
    </xf>
    <xf numFmtId="2" fontId="0" fillId="34" borderId="25" xfId="0" applyNumberFormat="1" applyFill="1" applyBorder="1" applyProtection="1">
      <protection locked="0"/>
    </xf>
    <xf numFmtId="0" fontId="19" fillId="0" borderId="0" xfId="0" applyFont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0" fontId="16" fillId="0" borderId="46" xfId="0" applyFont="1" applyFill="1" applyBorder="1" applyAlignment="1" applyProtection="1">
      <alignment horizontal="center" vertical="center"/>
      <protection/>
    </xf>
    <xf numFmtId="0" fontId="16" fillId="0" borderId="33" xfId="0" applyFont="1" applyFill="1" applyBorder="1" applyAlignment="1" applyProtection="1">
      <alignment horizontal="center" vertical="center"/>
      <protection/>
    </xf>
    <xf numFmtId="0" fontId="16" fillId="30" borderId="16" xfId="0" applyFont="1" applyFill="1" applyBorder="1" applyAlignment="1" applyProtection="1">
      <alignment horizontal="center" vertical="center"/>
      <protection/>
    </xf>
    <xf numFmtId="0" fontId="16" fillId="30" borderId="35" xfId="0" applyFont="1" applyFill="1" applyBorder="1" applyAlignment="1" applyProtection="1">
      <alignment horizontal="center" vertical="center"/>
      <protection/>
    </xf>
    <xf numFmtId="0" fontId="16" fillId="30" borderId="34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30" borderId="16" xfId="0" applyFont="1" applyFill="1" applyBorder="1" applyAlignment="1">
      <alignment horizontal="center"/>
    </xf>
    <xf numFmtId="0" fontId="16" fillId="30" borderId="35" xfId="0" applyFont="1" applyFill="1" applyBorder="1" applyAlignment="1">
      <alignment horizontal="center"/>
    </xf>
    <xf numFmtId="0" fontId="16" fillId="30" borderId="3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30" borderId="16" xfId="0" applyFont="1" applyFill="1" applyBorder="1" applyAlignment="1">
      <alignment horizontal="center" vertical="center"/>
    </xf>
    <xf numFmtId="0" fontId="16" fillId="30" borderId="35" xfId="0" applyFont="1" applyFill="1" applyBorder="1" applyAlignment="1">
      <alignment horizontal="center" vertical="center"/>
    </xf>
    <xf numFmtId="0" fontId="16" fillId="30" borderId="3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23" fillId="30" borderId="16" xfId="0" applyFont="1" applyFill="1" applyBorder="1" applyAlignment="1">
      <alignment horizontal="center" vertical="center"/>
    </xf>
    <xf numFmtId="0" fontId="23" fillId="30" borderId="35" xfId="0" applyFont="1" applyFill="1" applyBorder="1" applyAlignment="1">
      <alignment horizontal="center" vertical="center"/>
    </xf>
    <xf numFmtId="0" fontId="23" fillId="30" borderId="3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7" fillId="0" borderId="12" xfId="0" applyFont="1" applyBorder="1" applyProtection="1">
      <protection/>
    </xf>
    <xf numFmtId="0" fontId="27" fillId="0" borderId="13" xfId="0" applyFont="1" applyBorder="1" applyProtection="1">
      <protection/>
    </xf>
    <xf numFmtId="0" fontId="27" fillId="34" borderId="44" xfId="0" applyFont="1" applyFill="1" applyBorder="1" applyProtection="1">
      <protection locked="0"/>
    </xf>
    <xf numFmtId="2" fontId="27" fillId="34" borderId="10" xfId="0" applyNumberFormat="1" applyFont="1" applyFill="1" applyBorder="1" applyProtection="1">
      <protection locked="0"/>
    </xf>
    <xf numFmtId="2" fontId="27" fillId="34" borderId="38" xfId="0" applyNumberFormat="1" applyFont="1" applyFill="1" applyBorder="1" applyProtection="1">
      <protection locked="0"/>
    </xf>
    <xf numFmtId="2" fontId="27" fillId="0" borderId="10" xfId="0" applyNumberFormat="1" applyFont="1" applyBorder="1" applyProtection="1">
      <protection/>
    </xf>
    <xf numFmtId="3" fontId="27" fillId="0" borderId="10" xfId="0" applyNumberFormat="1" applyFont="1" applyBorder="1" applyAlignment="1" applyProtection="1">
      <alignment horizontal="center"/>
      <protection/>
    </xf>
    <xf numFmtId="3" fontId="27" fillId="0" borderId="10" xfId="0" applyNumberFormat="1" applyFont="1" applyBorder="1" applyProtection="1">
      <protection/>
    </xf>
    <xf numFmtId="3" fontId="27" fillId="0" borderId="13" xfId="0" applyNumberFormat="1" applyFont="1" applyBorder="1" applyProtection="1">
      <protection/>
    </xf>
    <xf numFmtId="0" fontId="27" fillId="0" borderId="0" xfId="0" applyFont="1" applyProtection="1">
      <protection/>
    </xf>
    <xf numFmtId="0" fontId="27" fillId="0" borderId="12" xfId="0" applyFont="1" applyFill="1" applyBorder="1"/>
    <xf numFmtId="0" fontId="27" fillId="0" borderId="13" xfId="0" applyFont="1" applyFill="1" applyBorder="1"/>
    <xf numFmtId="2" fontId="27" fillId="0" borderId="10" xfId="0" applyNumberFormat="1" applyFont="1" applyFill="1" applyBorder="1"/>
    <xf numFmtId="1" fontId="27" fillId="0" borderId="10" xfId="0" applyNumberFormat="1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/>
    <xf numFmtId="3" fontId="27" fillId="0" borderId="13" xfId="0" applyNumberFormat="1" applyFont="1" applyFill="1" applyBorder="1"/>
    <xf numFmtId="0" fontId="27" fillId="0" borderId="0" xfId="0" applyFon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zoomScale="90" zoomScaleNormal="90" workbookViewId="0" topLeftCell="A1">
      <pane xSplit="1" ySplit="4" topLeftCell="B53" activePane="bottomRight" state="frozen"/>
      <selection pane="topRight" activeCell="B1" sqref="B1"/>
      <selection pane="bottomLeft" activeCell="A5" sqref="A5"/>
      <selection pane="bottomRight" activeCell="A66" sqref="A66"/>
    </sheetView>
  </sheetViews>
  <sheetFormatPr defaultColWidth="9.140625" defaultRowHeight="15"/>
  <cols>
    <col min="1" max="1" width="31.8515625" style="51" customWidth="1"/>
    <col min="2" max="2" width="27.421875" style="51" customWidth="1"/>
    <col min="3" max="3" width="17.8515625" style="51" customWidth="1"/>
    <col min="4" max="4" width="12.28125" style="51" customWidth="1"/>
    <col min="5" max="5" width="10.140625" style="51" customWidth="1"/>
    <col min="6" max="6" width="9.28125" style="51" customWidth="1"/>
    <col min="7" max="7" width="11.8515625" style="51" customWidth="1"/>
    <col min="8" max="8" width="9.7109375" style="51" customWidth="1"/>
    <col min="9" max="9" width="11.421875" style="51" customWidth="1"/>
    <col min="10" max="11" width="11.140625" style="51" customWidth="1"/>
    <col min="12" max="12" width="11.421875" style="51" customWidth="1"/>
    <col min="13" max="13" width="9.421875" style="51" customWidth="1"/>
    <col min="14" max="14" width="10.28125" style="51" customWidth="1"/>
    <col min="15" max="16384" width="9.140625" style="51" customWidth="1"/>
  </cols>
  <sheetData>
    <row r="1" ht="15.75">
      <c r="A1" s="101" t="s">
        <v>42</v>
      </c>
    </row>
    <row r="2" spans="1:14" ht="57.75" customHeight="1">
      <c r="A2" s="142" t="s">
        <v>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48.75" customHeight="1" thickBot="1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02" customHeight="1" thickBot="1">
      <c r="A4" s="53" t="s">
        <v>0</v>
      </c>
      <c r="B4" s="54" t="s">
        <v>1</v>
      </c>
      <c r="C4" s="88" t="s">
        <v>41</v>
      </c>
      <c r="D4" s="56" t="s">
        <v>4</v>
      </c>
      <c r="E4" s="55" t="s">
        <v>44</v>
      </c>
      <c r="F4" s="55" t="s">
        <v>37</v>
      </c>
      <c r="G4" s="56" t="s">
        <v>28</v>
      </c>
      <c r="H4" s="56" t="s">
        <v>32</v>
      </c>
      <c r="I4" s="56" t="s">
        <v>5</v>
      </c>
      <c r="J4" s="56" t="s">
        <v>36</v>
      </c>
      <c r="K4" s="56" t="s">
        <v>45</v>
      </c>
      <c r="L4" s="56" t="s">
        <v>46</v>
      </c>
      <c r="M4" s="56" t="s">
        <v>29</v>
      </c>
      <c r="N4" s="57" t="s">
        <v>25</v>
      </c>
    </row>
    <row r="5" spans="1:14" ht="14.45" customHeight="1">
      <c r="A5" s="58" t="str">
        <f>"prostěradlo"</f>
        <v>prostěradlo</v>
      </c>
      <c r="B5" s="59"/>
      <c r="C5" s="133"/>
      <c r="D5" s="134"/>
      <c r="E5" s="135"/>
      <c r="F5" s="135"/>
      <c r="G5" s="60">
        <f aca="true" t="shared" si="0" ref="G5:G69">D5*0.21</f>
        <v>0</v>
      </c>
      <c r="H5" s="60">
        <f aca="true" t="shared" si="1" ref="H5:H69">ROUND(D5+G5,2)</f>
        <v>0</v>
      </c>
      <c r="I5" s="61">
        <v>67224</v>
      </c>
      <c r="J5" s="62">
        <f aca="true" t="shared" si="2" ref="J5:J69">D5*I5</f>
        <v>0</v>
      </c>
      <c r="K5" s="62">
        <f aca="true" t="shared" si="3" ref="K5:K69">+I5*E5</f>
        <v>0</v>
      </c>
      <c r="L5" s="62">
        <f aca="true" t="shared" si="4" ref="L5:L69">+I5*F5</f>
        <v>0</v>
      </c>
      <c r="M5" s="62">
        <f aca="true" t="shared" si="5" ref="M5:M69">J5*0.21</f>
        <v>0</v>
      </c>
      <c r="N5" s="63">
        <f aca="true" t="shared" si="6" ref="N5:N69">ROUND(J5+M5,2)</f>
        <v>0</v>
      </c>
    </row>
    <row r="6" spans="1:14" ht="14.45" customHeight="1">
      <c r="A6" s="64" t="str">
        <f>"prostěradlo malé"</f>
        <v>prostěradlo malé</v>
      </c>
      <c r="B6" s="65"/>
      <c r="C6" s="136"/>
      <c r="D6" s="137"/>
      <c r="E6" s="138"/>
      <c r="F6" s="138"/>
      <c r="G6" s="66">
        <f t="shared" si="0"/>
        <v>0</v>
      </c>
      <c r="H6" s="66">
        <f t="shared" si="1"/>
        <v>0</v>
      </c>
      <c r="I6" s="67">
        <v>1194</v>
      </c>
      <c r="J6" s="68">
        <f t="shared" si="2"/>
        <v>0</v>
      </c>
      <c r="K6" s="68">
        <f t="shared" si="3"/>
        <v>0</v>
      </c>
      <c r="L6" s="68">
        <f t="shared" si="4"/>
        <v>0</v>
      </c>
      <c r="M6" s="68">
        <f t="shared" si="5"/>
        <v>0</v>
      </c>
      <c r="N6" s="69">
        <f t="shared" si="6"/>
        <v>0</v>
      </c>
    </row>
    <row r="7" spans="1:14" ht="15">
      <c r="A7" s="64" t="str">
        <f>"prostěradlo napínací"</f>
        <v>prostěradlo napínací</v>
      </c>
      <c r="B7" s="65"/>
      <c r="C7" s="136"/>
      <c r="D7" s="137"/>
      <c r="E7" s="138"/>
      <c r="F7" s="138"/>
      <c r="G7" s="66">
        <f t="shared" si="0"/>
        <v>0</v>
      </c>
      <c r="H7" s="66">
        <f t="shared" si="1"/>
        <v>0</v>
      </c>
      <c r="I7" s="67">
        <v>553</v>
      </c>
      <c r="J7" s="68">
        <f t="shared" si="2"/>
        <v>0</v>
      </c>
      <c r="K7" s="68">
        <f t="shared" si="3"/>
        <v>0</v>
      </c>
      <c r="L7" s="68">
        <f t="shared" si="4"/>
        <v>0</v>
      </c>
      <c r="M7" s="68">
        <f t="shared" si="5"/>
        <v>0</v>
      </c>
      <c r="N7" s="69">
        <f t="shared" si="6"/>
        <v>0</v>
      </c>
    </row>
    <row r="8" spans="1:14" ht="15">
      <c r="A8" s="64" t="str">
        <f>"povlak polštáře"</f>
        <v>povlak polštáře</v>
      </c>
      <c r="B8" s="65"/>
      <c r="C8" s="136"/>
      <c r="D8" s="137"/>
      <c r="E8" s="138"/>
      <c r="F8" s="138"/>
      <c r="G8" s="66">
        <f t="shared" si="0"/>
        <v>0</v>
      </c>
      <c r="H8" s="66">
        <f t="shared" si="1"/>
        <v>0</v>
      </c>
      <c r="I8" s="67">
        <v>64842</v>
      </c>
      <c r="J8" s="68">
        <f t="shared" si="2"/>
        <v>0</v>
      </c>
      <c r="K8" s="68">
        <f t="shared" si="3"/>
        <v>0</v>
      </c>
      <c r="L8" s="68">
        <f t="shared" si="4"/>
        <v>0</v>
      </c>
      <c r="M8" s="68">
        <f t="shared" si="5"/>
        <v>0</v>
      </c>
      <c r="N8" s="69">
        <f t="shared" si="6"/>
        <v>0</v>
      </c>
    </row>
    <row r="9" spans="1:14" ht="15">
      <c r="A9" s="64" t="str">
        <f>"povlak polštáře malý"</f>
        <v>povlak polštáře malý</v>
      </c>
      <c r="B9" s="65"/>
      <c r="C9" s="136"/>
      <c r="D9" s="137"/>
      <c r="E9" s="138"/>
      <c r="F9" s="138"/>
      <c r="G9" s="66">
        <f t="shared" si="0"/>
        <v>0</v>
      </c>
      <c r="H9" s="66">
        <f t="shared" si="1"/>
        <v>0</v>
      </c>
      <c r="I9" s="67">
        <v>3873</v>
      </c>
      <c r="J9" s="68">
        <f t="shared" si="2"/>
        <v>0</v>
      </c>
      <c r="K9" s="68">
        <f t="shared" si="3"/>
        <v>0</v>
      </c>
      <c r="L9" s="68">
        <f t="shared" si="4"/>
        <v>0</v>
      </c>
      <c r="M9" s="68">
        <f t="shared" si="5"/>
        <v>0</v>
      </c>
      <c r="N9" s="69">
        <f t="shared" si="6"/>
        <v>0</v>
      </c>
    </row>
    <row r="10" spans="1:14" ht="15">
      <c r="A10" s="64" t="str">
        <f>"povlak polštáře nadstandard"</f>
        <v>povlak polštáře nadstandard</v>
      </c>
      <c r="B10" s="65"/>
      <c r="C10" s="136"/>
      <c r="D10" s="137"/>
      <c r="E10" s="138"/>
      <c r="F10" s="138"/>
      <c r="G10" s="66">
        <f t="shared" si="0"/>
        <v>0</v>
      </c>
      <c r="H10" s="66">
        <f t="shared" si="1"/>
        <v>0</v>
      </c>
      <c r="I10" s="67">
        <v>541</v>
      </c>
      <c r="J10" s="68">
        <f t="shared" si="2"/>
        <v>0</v>
      </c>
      <c r="K10" s="68">
        <f t="shared" si="3"/>
        <v>0</v>
      </c>
      <c r="L10" s="68">
        <f t="shared" si="4"/>
        <v>0</v>
      </c>
      <c r="M10" s="68">
        <f t="shared" si="5"/>
        <v>0</v>
      </c>
      <c r="N10" s="69">
        <f t="shared" si="6"/>
        <v>0</v>
      </c>
    </row>
    <row r="11" spans="1:14" ht="15">
      <c r="A11" s="64" t="str">
        <f>"povlak přikrývky"</f>
        <v>povlak přikrývky</v>
      </c>
      <c r="B11" s="65"/>
      <c r="C11" s="136"/>
      <c r="D11" s="137"/>
      <c r="E11" s="138"/>
      <c r="F11" s="138"/>
      <c r="G11" s="66">
        <f t="shared" si="0"/>
        <v>0</v>
      </c>
      <c r="H11" s="66">
        <f t="shared" si="1"/>
        <v>0</v>
      </c>
      <c r="I11" s="67">
        <v>68661</v>
      </c>
      <c r="J11" s="68">
        <f t="shared" si="2"/>
        <v>0</v>
      </c>
      <c r="K11" s="68">
        <f t="shared" si="3"/>
        <v>0</v>
      </c>
      <c r="L11" s="68">
        <f t="shared" si="4"/>
        <v>0</v>
      </c>
      <c r="M11" s="68">
        <f t="shared" si="5"/>
        <v>0</v>
      </c>
      <c r="N11" s="69">
        <f t="shared" si="6"/>
        <v>0</v>
      </c>
    </row>
    <row r="12" spans="1:14" ht="15">
      <c r="A12" s="64" t="str">
        <f>"povlak přikrývky malý"</f>
        <v>povlak přikrývky malý</v>
      </c>
      <c r="B12" s="65"/>
      <c r="C12" s="136"/>
      <c r="D12" s="137"/>
      <c r="E12" s="138"/>
      <c r="F12" s="138"/>
      <c r="G12" s="66">
        <f t="shared" si="0"/>
        <v>0</v>
      </c>
      <c r="H12" s="66">
        <f t="shared" si="1"/>
        <v>0</v>
      </c>
      <c r="I12" s="67">
        <v>1194</v>
      </c>
      <c r="J12" s="68">
        <f t="shared" si="2"/>
        <v>0</v>
      </c>
      <c r="K12" s="68">
        <f t="shared" si="3"/>
        <v>0</v>
      </c>
      <c r="L12" s="68">
        <f t="shared" si="4"/>
        <v>0</v>
      </c>
      <c r="M12" s="68">
        <f t="shared" si="5"/>
        <v>0</v>
      </c>
      <c r="N12" s="69">
        <f t="shared" si="6"/>
        <v>0</v>
      </c>
    </row>
    <row r="13" spans="1:14" ht="15">
      <c r="A13" s="64" t="str">
        <f>"povlak přikrývky nadstandard"</f>
        <v>povlak přikrývky nadstandard</v>
      </c>
      <c r="B13" s="65"/>
      <c r="C13" s="136"/>
      <c r="D13" s="137"/>
      <c r="E13" s="138"/>
      <c r="F13" s="138"/>
      <c r="G13" s="66">
        <f t="shared" si="0"/>
        <v>0</v>
      </c>
      <c r="H13" s="66">
        <f t="shared" si="1"/>
        <v>0</v>
      </c>
      <c r="I13" s="67">
        <v>526</v>
      </c>
      <c r="J13" s="68">
        <f t="shared" si="2"/>
        <v>0</v>
      </c>
      <c r="K13" s="68">
        <f t="shared" si="3"/>
        <v>0</v>
      </c>
      <c r="L13" s="68">
        <f t="shared" si="4"/>
        <v>0</v>
      </c>
      <c r="M13" s="68">
        <f t="shared" si="5"/>
        <v>0</v>
      </c>
      <c r="N13" s="69">
        <f t="shared" si="6"/>
        <v>0</v>
      </c>
    </row>
    <row r="14" spans="1:14" ht="15">
      <c r="A14" s="64" t="str">
        <f>"podložka"</f>
        <v>podložka</v>
      </c>
      <c r="B14" s="65"/>
      <c r="C14" s="136"/>
      <c r="D14" s="137"/>
      <c r="E14" s="138"/>
      <c r="F14" s="138"/>
      <c r="G14" s="66">
        <f t="shared" si="0"/>
        <v>0</v>
      </c>
      <c r="H14" s="66">
        <f t="shared" si="1"/>
        <v>0</v>
      </c>
      <c r="I14" s="67">
        <v>73957</v>
      </c>
      <c r="J14" s="68">
        <f t="shared" si="2"/>
        <v>0</v>
      </c>
      <c r="K14" s="68">
        <f t="shared" si="3"/>
        <v>0</v>
      </c>
      <c r="L14" s="68">
        <f t="shared" si="4"/>
        <v>0</v>
      </c>
      <c r="M14" s="68">
        <f t="shared" si="5"/>
        <v>0</v>
      </c>
      <c r="N14" s="69">
        <f t="shared" si="6"/>
        <v>0</v>
      </c>
    </row>
    <row r="15" spans="1:14" ht="15">
      <c r="A15" s="64" t="str">
        <f>"rouška malá 90x90"</f>
        <v>rouška malá 90x90</v>
      </c>
      <c r="B15" s="65"/>
      <c r="C15" s="136"/>
      <c r="D15" s="137"/>
      <c r="E15" s="138"/>
      <c r="F15" s="138"/>
      <c r="G15" s="66">
        <f t="shared" si="0"/>
        <v>0</v>
      </c>
      <c r="H15" s="66">
        <f t="shared" si="1"/>
        <v>0</v>
      </c>
      <c r="I15" s="67">
        <v>47080</v>
      </c>
      <c r="J15" s="68">
        <f t="shared" si="2"/>
        <v>0</v>
      </c>
      <c r="K15" s="68">
        <f t="shared" si="3"/>
        <v>0</v>
      </c>
      <c r="L15" s="68">
        <f t="shared" si="4"/>
        <v>0</v>
      </c>
      <c r="M15" s="68">
        <f t="shared" si="5"/>
        <v>0</v>
      </c>
      <c r="N15" s="69">
        <f t="shared" si="6"/>
        <v>0</v>
      </c>
    </row>
    <row r="16" spans="1:14" ht="15">
      <c r="A16" s="64" t="str">
        <f>"rouška malá 90x90 perf."</f>
        <v>rouška malá 90x90 perf.</v>
      </c>
      <c r="B16" s="65"/>
      <c r="C16" s="136"/>
      <c r="D16" s="137"/>
      <c r="E16" s="138"/>
      <c r="F16" s="138"/>
      <c r="G16" s="66">
        <f t="shared" si="0"/>
        <v>0</v>
      </c>
      <c r="H16" s="66">
        <f t="shared" si="1"/>
        <v>0</v>
      </c>
      <c r="I16" s="67">
        <v>779</v>
      </c>
      <c r="J16" s="68">
        <f t="shared" si="2"/>
        <v>0</v>
      </c>
      <c r="K16" s="68">
        <f t="shared" si="3"/>
        <v>0</v>
      </c>
      <c r="L16" s="68">
        <f t="shared" si="4"/>
        <v>0</v>
      </c>
      <c r="M16" s="68">
        <f t="shared" si="5"/>
        <v>0</v>
      </c>
      <c r="N16" s="69">
        <f t="shared" si="6"/>
        <v>0</v>
      </c>
    </row>
    <row r="17" spans="1:14" ht="15">
      <c r="A17" s="64" t="str">
        <f>"rouška střední 110x140"</f>
        <v>rouška střední 110x140</v>
      </c>
      <c r="B17" s="65"/>
      <c r="C17" s="136"/>
      <c r="D17" s="137"/>
      <c r="E17" s="138"/>
      <c r="F17" s="138"/>
      <c r="G17" s="66">
        <f t="shared" si="0"/>
        <v>0</v>
      </c>
      <c r="H17" s="66">
        <f t="shared" si="1"/>
        <v>0</v>
      </c>
      <c r="I17" s="67">
        <v>33525</v>
      </c>
      <c r="J17" s="68">
        <f t="shared" si="2"/>
        <v>0</v>
      </c>
      <c r="K17" s="68">
        <f t="shared" si="3"/>
        <v>0</v>
      </c>
      <c r="L17" s="68">
        <f t="shared" si="4"/>
        <v>0</v>
      </c>
      <c r="M17" s="68">
        <f t="shared" si="5"/>
        <v>0</v>
      </c>
      <c r="N17" s="69">
        <f t="shared" si="6"/>
        <v>0</v>
      </c>
    </row>
    <row r="18" spans="1:14" ht="15">
      <c r="A18" s="64" t="str">
        <f>"rouška velká 140x170"</f>
        <v>rouška velká 140x170</v>
      </c>
      <c r="B18" s="65"/>
      <c r="C18" s="136"/>
      <c r="D18" s="137"/>
      <c r="E18" s="138"/>
      <c r="F18" s="138"/>
      <c r="G18" s="66">
        <f t="shared" si="0"/>
        <v>0</v>
      </c>
      <c r="H18" s="66">
        <f t="shared" si="1"/>
        <v>0</v>
      </c>
      <c r="I18" s="67">
        <v>1909</v>
      </c>
      <c r="J18" s="68">
        <f t="shared" si="2"/>
        <v>0</v>
      </c>
      <c r="K18" s="68">
        <f t="shared" si="3"/>
        <v>0</v>
      </c>
      <c r="L18" s="68">
        <f t="shared" si="4"/>
        <v>0</v>
      </c>
      <c r="M18" s="68">
        <f t="shared" si="5"/>
        <v>0</v>
      </c>
      <c r="N18" s="69">
        <f t="shared" si="6"/>
        <v>0</v>
      </c>
    </row>
    <row r="19" spans="1:14" ht="15">
      <c r="A19" s="64" t="str">
        <f>"halena operační"</f>
        <v>halena operační</v>
      </c>
      <c r="B19" s="65" t="str">
        <f>"modrá "</f>
        <v xml:space="preserve">modrá </v>
      </c>
      <c r="C19" s="136"/>
      <c r="D19" s="137"/>
      <c r="E19" s="138"/>
      <c r="F19" s="138"/>
      <c r="G19" s="66">
        <f t="shared" si="0"/>
        <v>0</v>
      </c>
      <c r="H19" s="66">
        <f t="shared" si="1"/>
        <v>0</v>
      </c>
      <c r="I19" s="67">
        <v>26054</v>
      </c>
      <c r="J19" s="68">
        <f t="shared" si="2"/>
        <v>0</v>
      </c>
      <c r="K19" s="68">
        <f t="shared" si="3"/>
        <v>0</v>
      </c>
      <c r="L19" s="68">
        <f t="shared" si="4"/>
        <v>0</v>
      </c>
      <c r="M19" s="68">
        <f t="shared" si="5"/>
        <v>0</v>
      </c>
      <c r="N19" s="69">
        <f t="shared" si="6"/>
        <v>0</v>
      </c>
    </row>
    <row r="20" spans="1:14" ht="15">
      <c r="A20" s="64" t="str">
        <f>"kalhoty operační"</f>
        <v>kalhoty operační</v>
      </c>
      <c r="B20" s="65" t="str">
        <f>"modré"</f>
        <v>modré</v>
      </c>
      <c r="C20" s="136"/>
      <c r="D20" s="137"/>
      <c r="E20" s="138"/>
      <c r="F20" s="138"/>
      <c r="G20" s="66">
        <f t="shared" si="0"/>
        <v>0</v>
      </c>
      <c r="H20" s="66">
        <f t="shared" si="1"/>
        <v>0</v>
      </c>
      <c r="I20" s="67">
        <v>25375</v>
      </c>
      <c r="J20" s="68">
        <f t="shared" si="2"/>
        <v>0</v>
      </c>
      <c r="K20" s="68">
        <f t="shared" si="3"/>
        <v>0</v>
      </c>
      <c r="L20" s="68">
        <f t="shared" si="4"/>
        <v>0</v>
      </c>
      <c r="M20" s="68">
        <f t="shared" si="5"/>
        <v>0</v>
      </c>
      <c r="N20" s="69">
        <f t="shared" si="6"/>
        <v>0</v>
      </c>
    </row>
    <row r="21" spans="1:14" ht="15">
      <c r="A21" s="64" t="str">
        <f>"plášť operační"</f>
        <v>plášť operační</v>
      </c>
      <c r="B21" s="65" t="str">
        <f>"modrý"</f>
        <v>modrý</v>
      </c>
      <c r="C21" s="136"/>
      <c r="D21" s="137"/>
      <c r="E21" s="138"/>
      <c r="F21" s="138"/>
      <c r="G21" s="66">
        <f t="shared" si="0"/>
        <v>0</v>
      </c>
      <c r="H21" s="66">
        <f t="shared" si="1"/>
        <v>0</v>
      </c>
      <c r="I21" s="67">
        <v>120</v>
      </c>
      <c r="J21" s="68">
        <f t="shared" si="2"/>
        <v>0</v>
      </c>
      <c r="K21" s="68">
        <f t="shared" si="3"/>
        <v>0</v>
      </c>
      <c r="L21" s="68">
        <f t="shared" si="4"/>
        <v>0</v>
      </c>
      <c r="M21" s="68">
        <f t="shared" si="5"/>
        <v>0</v>
      </c>
      <c r="N21" s="69">
        <f t="shared" si="6"/>
        <v>0</v>
      </c>
    </row>
    <row r="22" spans="1:14" ht="15">
      <c r="A22" s="64" t="str">
        <f>"pyžamový kabátek dětský"</f>
        <v>pyžamový kabátek dětský</v>
      </c>
      <c r="B22" s="65"/>
      <c r="C22" s="136"/>
      <c r="D22" s="137"/>
      <c r="E22" s="138"/>
      <c r="F22" s="138"/>
      <c r="G22" s="66">
        <f t="shared" si="0"/>
        <v>0</v>
      </c>
      <c r="H22" s="66">
        <f t="shared" si="1"/>
        <v>0</v>
      </c>
      <c r="I22" s="67">
        <v>528</v>
      </c>
      <c r="J22" s="68">
        <f t="shared" si="2"/>
        <v>0</v>
      </c>
      <c r="K22" s="68">
        <f t="shared" si="3"/>
        <v>0</v>
      </c>
      <c r="L22" s="68">
        <f t="shared" si="4"/>
        <v>0</v>
      </c>
      <c r="M22" s="68">
        <f t="shared" si="5"/>
        <v>0</v>
      </c>
      <c r="N22" s="69">
        <f t="shared" si="6"/>
        <v>0</v>
      </c>
    </row>
    <row r="23" spans="1:14" ht="15">
      <c r="A23" s="64" t="str">
        <f>"pyžamové kalhoty dětské"</f>
        <v>pyžamové kalhoty dětské</v>
      </c>
      <c r="B23" s="65"/>
      <c r="C23" s="136"/>
      <c r="D23" s="137"/>
      <c r="E23" s="138"/>
      <c r="F23" s="138"/>
      <c r="G23" s="66">
        <f t="shared" si="0"/>
        <v>0</v>
      </c>
      <c r="H23" s="66">
        <f t="shared" si="1"/>
        <v>0</v>
      </c>
      <c r="I23" s="67">
        <v>460</v>
      </c>
      <c r="J23" s="68">
        <f t="shared" si="2"/>
        <v>0</v>
      </c>
      <c r="K23" s="68">
        <f t="shared" si="3"/>
        <v>0</v>
      </c>
      <c r="L23" s="68">
        <f t="shared" si="4"/>
        <v>0</v>
      </c>
      <c r="M23" s="68">
        <f t="shared" si="5"/>
        <v>0</v>
      </c>
      <c r="N23" s="69">
        <f t="shared" si="6"/>
        <v>0</v>
      </c>
    </row>
    <row r="24" spans="1:14" ht="15">
      <c r="A24" s="64" t="str">
        <f>"košilka kojenecká"</f>
        <v>košilka kojenecká</v>
      </c>
      <c r="B24" s="65"/>
      <c r="C24" s="136"/>
      <c r="D24" s="137"/>
      <c r="E24" s="138"/>
      <c r="F24" s="138"/>
      <c r="G24" s="66">
        <f t="shared" si="0"/>
        <v>0</v>
      </c>
      <c r="H24" s="66">
        <f t="shared" si="1"/>
        <v>0</v>
      </c>
      <c r="I24" s="67">
        <v>1</v>
      </c>
      <c r="J24" s="68">
        <f t="shared" si="2"/>
        <v>0</v>
      </c>
      <c r="K24" s="68">
        <f t="shared" si="3"/>
        <v>0</v>
      </c>
      <c r="L24" s="68">
        <f t="shared" si="4"/>
        <v>0</v>
      </c>
      <c r="M24" s="68">
        <f t="shared" si="5"/>
        <v>0</v>
      </c>
      <c r="N24" s="69">
        <f t="shared" si="6"/>
        <v>0</v>
      </c>
    </row>
    <row r="25" spans="1:14" ht="15">
      <c r="A25" s="64" t="str">
        <f>"košilka denní dětská"</f>
        <v>košilka denní dětská</v>
      </c>
      <c r="B25" s="65"/>
      <c r="C25" s="136"/>
      <c r="D25" s="137"/>
      <c r="E25" s="138"/>
      <c r="F25" s="138"/>
      <c r="G25" s="66">
        <f t="shared" si="0"/>
        <v>0</v>
      </c>
      <c r="H25" s="66">
        <f t="shared" si="1"/>
        <v>0</v>
      </c>
      <c r="I25" s="67">
        <v>36</v>
      </c>
      <c r="J25" s="68">
        <f t="shared" si="2"/>
        <v>0</v>
      </c>
      <c r="K25" s="68">
        <f t="shared" si="3"/>
        <v>0</v>
      </c>
      <c r="L25" s="68">
        <f t="shared" si="4"/>
        <v>0</v>
      </c>
      <c r="M25" s="68">
        <f t="shared" si="5"/>
        <v>0</v>
      </c>
      <c r="N25" s="69">
        <f t="shared" si="6"/>
        <v>0</v>
      </c>
    </row>
    <row r="26" spans="1:14" ht="15">
      <c r="A26" s="64" t="str">
        <f>"dupačky"</f>
        <v>dupačky</v>
      </c>
      <c r="B26" s="65"/>
      <c r="C26" s="136"/>
      <c r="D26" s="137"/>
      <c r="E26" s="138"/>
      <c r="F26" s="138"/>
      <c r="G26" s="66">
        <f t="shared" si="0"/>
        <v>0</v>
      </c>
      <c r="H26" s="66">
        <f t="shared" si="1"/>
        <v>0</v>
      </c>
      <c r="I26" s="67">
        <v>4933</v>
      </c>
      <c r="J26" s="68">
        <f t="shared" si="2"/>
        <v>0</v>
      </c>
      <c r="K26" s="68">
        <f t="shared" si="3"/>
        <v>0</v>
      </c>
      <c r="L26" s="68">
        <f t="shared" si="4"/>
        <v>0</v>
      </c>
      <c r="M26" s="68">
        <f t="shared" si="5"/>
        <v>0</v>
      </c>
      <c r="N26" s="69">
        <f t="shared" si="6"/>
        <v>0</v>
      </c>
    </row>
    <row r="27" spans="1:14" ht="15">
      <c r="A27" s="64" t="str">
        <f>"plena"</f>
        <v>plena</v>
      </c>
      <c r="B27" s="65"/>
      <c r="C27" s="136"/>
      <c r="D27" s="137"/>
      <c r="E27" s="138"/>
      <c r="F27" s="138"/>
      <c r="G27" s="66">
        <f t="shared" si="0"/>
        <v>0</v>
      </c>
      <c r="H27" s="66">
        <f t="shared" si="1"/>
        <v>0</v>
      </c>
      <c r="I27" s="67">
        <v>2926</v>
      </c>
      <c r="J27" s="68">
        <f t="shared" si="2"/>
        <v>0</v>
      </c>
      <c r="K27" s="68">
        <f t="shared" si="3"/>
        <v>0</v>
      </c>
      <c r="L27" s="68">
        <f t="shared" si="4"/>
        <v>0</v>
      </c>
      <c r="M27" s="68">
        <f t="shared" si="5"/>
        <v>0</v>
      </c>
      <c r="N27" s="69">
        <f t="shared" si="6"/>
        <v>0</v>
      </c>
    </row>
    <row r="28" spans="1:14" ht="15">
      <c r="A28" s="64" t="str">
        <f>"plena tetra"</f>
        <v>plena tetra</v>
      </c>
      <c r="B28" s="65"/>
      <c r="C28" s="136"/>
      <c r="D28" s="137"/>
      <c r="E28" s="138"/>
      <c r="F28" s="138"/>
      <c r="G28" s="66">
        <f t="shared" si="0"/>
        <v>0</v>
      </c>
      <c r="H28" s="66">
        <f t="shared" si="1"/>
        <v>0</v>
      </c>
      <c r="I28" s="67">
        <v>720</v>
      </c>
      <c r="J28" s="68">
        <f t="shared" si="2"/>
        <v>0</v>
      </c>
      <c r="K28" s="68">
        <f t="shared" si="3"/>
        <v>0</v>
      </c>
      <c r="L28" s="68">
        <f t="shared" si="4"/>
        <v>0</v>
      </c>
      <c r="M28" s="68">
        <f t="shared" si="5"/>
        <v>0</v>
      </c>
      <c r="N28" s="69">
        <f t="shared" si="6"/>
        <v>0</v>
      </c>
    </row>
    <row r="29" spans="1:14" ht="15">
      <c r="A29" s="64" t="str">
        <f>"kabátek pyžamový"</f>
        <v>kabátek pyžamový</v>
      </c>
      <c r="B29" s="65"/>
      <c r="C29" s="136"/>
      <c r="D29" s="137"/>
      <c r="E29" s="138"/>
      <c r="F29" s="138"/>
      <c r="G29" s="66">
        <f t="shared" si="0"/>
        <v>0</v>
      </c>
      <c r="H29" s="66">
        <f t="shared" si="1"/>
        <v>0</v>
      </c>
      <c r="I29" s="67">
        <v>6432</v>
      </c>
      <c r="J29" s="68">
        <f t="shared" si="2"/>
        <v>0</v>
      </c>
      <c r="K29" s="68">
        <f t="shared" si="3"/>
        <v>0</v>
      </c>
      <c r="L29" s="68">
        <f t="shared" si="4"/>
        <v>0</v>
      </c>
      <c r="M29" s="68">
        <f t="shared" si="5"/>
        <v>0</v>
      </c>
      <c r="N29" s="69">
        <f t="shared" si="6"/>
        <v>0</v>
      </c>
    </row>
    <row r="30" spans="1:14" ht="15">
      <c r="A30" s="64" t="str">
        <f>"kabátek pyžamový"</f>
        <v>kabátek pyžamový</v>
      </c>
      <c r="B30" s="65"/>
      <c r="C30" s="136"/>
      <c r="D30" s="137"/>
      <c r="E30" s="138"/>
      <c r="F30" s="138"/>
      <c r="G30" s="66">
        <f t="shared" si="0"/>
        <v>0</v>
      </c>
      <c r="H30" s="66">
        <f t="shared" si="1"/>
        <v>0</v>
      </c>
      <c r="I30" s="67">
        <v>1074</v>
      </c>
      <c r="J30" s="68">
        <f t="shared" si="2"/>
        <v>0</v>
      </c>
      <c r="K30" s="68">
        <f t="shared" si="3"/>
        <v>0</v>
      </c>
      <c r="L30" s="68">
        <f t="shared" si="4"/>
        <v>0</v>
      </c>
      <c r="M30" s="68">
        <f t="shared" si="5"/>
        <v>0</v>
      </c>
      <c r="N30" s="69">
        <f t="shared" si="6"/>
        <v>0</v>
      </c>
    </row>
    <row r="31" spans="1:14" ht="15">
      <c r="A31" s="64" t="str">
        <f>"kalhoty pyžamové"</f>
        <v>kalhoty pyžamové</v>
      </c>
      <c r="B31" s="65"/>
      <c r="C31" s="136"/>
      <c r="D31" s="137"/>
      <c r="E31" s="138"/>
      <c r="F31" s="138"/>
      <c r="G31" s="66">
        <f t="shared" si="0"/>
        <v>0</v>
      </c>
      <c r="H31" s="66">
        <f t="shared" si="1"/>
        <v>0</v>
      </c>
      <c r="I31" s="67">
        <v>5981</v>
      </c>
      <c r="J31" s="68">
        <f t="shared" si="2"/>
        <v>0</v>
      </c>
      <c r="K31" s="68">
        <f t="shared" si="3"/>
        <v>0</v>
      </c>
      <c r="L31" s="68">
        <f t="shared" si="4"/>
        <v>0</v>
      </c>
      <c r="M31" s="68">
        <f t="shared" si="5"/>
        <v>0</v>
      </c>
      <c r="N31" s="69">
        <f t="shared" si="6"/>
        <v>0</v>
      </c>
    </row>
    <row r="32" spans="1:14" ht="15">
      <c r="A32" s="64" t="str">
        <f>"kalhoty pyžamové"</f>
        <v>kalhoty pyžamové</v>
      </c>
      <c r="B32" s="65"/>
      <c r="C32" s="136"/>
      <c r="D32" s="137"/>
      <c r="E32" s="138"/>
      <c r="F32" s="138"/>
      <c r="G32" s="66">
        <f t="shared" si="0"/>
        <v>0</v>
      </c>
      <c r="H32" s="66">
        <f t="shared" si="1"/>
        <v>0</v>
      </c>
      <c r="I32" s="67">
        <v>1056</v>
      </c>
      <c r="J32" s="68">
        <f t="shared" si="2"/>
        <v>0</v>
      </c>
      <c r="K32" s="68">
        <f t="shared" si="3"/>
        <v>0</v>
      </c>
      <c r="L32" s="68">
        <f t="shared" si="4"/>
        <v>0</v>
      </c>
      <c r="M32" s="68">
        <f t="shared" si="5"/>
        <v>0</v>
      </c>
      <c r="N32" s="69">
        <f t="shared" si="6"/>
        <v>0</v>
      </c>
    </row>
    <row r="33" spans="1:14" ht="15">
      <c r="A33" s="64" t="str">
        <f>"košile noční"</f>
        <v>košile noční</v>
      </c>
      <c r="B33" s="65"/>
      <c r="C33" s="136"/>
      <c r="D33" s="137"/>
      <c r="E33" s="138"/>
      <c r="F33" s="138"/>
      <c r="G33" s="66">
        <f t="shared" si="0"/>
        <v>0</v>
      </c>
      <c r="H33" s="66">
        <f t="shared" si="1"/>
        <v>0</v>
      </c>
      <c r="I33" s="67">
        <v>17579</v>
      </c>
      <c r="J33" s="68">
        <f t="shared" si="2"/>
        <v>0</v>
      </c>
      <c r="K33" s="68">
        <f t="shared" si="3"/>
        <v>0</v>
      </c>
      <c r="L33" s="68">
        <f t="shared" si="4"/>
        <v>0</v>
      </c>
      <c r="M33" s="68">
        <f t="shared" si="5"/>
        <v>0</v>
      </c>
      <c r="N33" s="69">
        <f t="shared" si="6"/>
        <v>0</v>
      </c>
    </row>
    <row r="34" spans="1:14" ht="15">
      <c r="A34" s="64" t="str">
        <f>"košile noční"</f>
        <v>košile noční</v>
      </c>
      <c r="B34" s="65"/>
      <c r="C34" s="136"/>
      <c r="D34" s="137"/>
      <c r="E34" s="138"/>
      <c r="F34" s="138"/>
      <c r="G34" s="66">
        <f t="shared" si="0"/>
        <v>0</v>
      </c>
      <c r="H34" s="66">
        <f t="shared" si="1"/>
        <v>0</v>
      </c>
      <c r="I34" s="67">
        <v>602</v>
      </c>
      <c r="J34" s="68">
        <f t="shared" si="2"/>
        <v>0</v>
      </c>
      <c r="K34" s="68">
        <f t="shared" si="3"/>
        <v>0</v>
      </c>
      <c r="L34" s="68">
        <f t="shared" si="4"/>
        <v>0</v>
      </c>
      <c r="M34" s="68">
        <f t="shared" si="5"/>
        <v>0</v>
      </c>
      <c r="N34" s="69">
        <f t="shared" si="6"/>
        <v>0</v>
      </c>
    </row>
    <row r="35" spans="1:14" ht="15">
      <c r="A35" s="64" t="str">
        <f>"košile noční Anděl"</f>
        <v>košile noční Anděl</v>
      </c>
      <c r="B35" s="65"/>
      <c r="C35" s="136"/>
      <c r="D35" s="137"/>
      <c r="E35" s="138"/>
      <c r="F35" s="138"/>
      <c r="G35" s="66">
        <f t="shared" si="0"/>
        <v>0</v>
      </c>
      <c r="H35" s="66">
        <f t="shared" si="1"/>
        <v>0</v>
      </c>
      <c r="I35" s="67">
        <v>33333</v>
      </c>
      <c r="J35" s="68">
        <f t="shared" si="2"/>
        <v>0</v>
      </c>
      <c r="K35" s="68">
        <f t="shared" si="3"/>
        <v>0</v>
      </c>
      <c r="L35" s="68">
        <f t="shared" si="4"/>
        <v>0</v>
      </c>
      <c r="M35" s="68">
        <f t="shared" si="5"/>
        <v>0</v>
      </c>
      <c r="N35" s="69">
        <f t="shared" si="6"/>
        <v>0</v>
      </c>
    </row>
    <row r="36" spans="1:14" ht="15">
      <c r="A36" s="64" t="str">
        <f>"župan"</f>
        <v>župan</v>
      </c>
      <c r="B36" s="65"/>
      <c r="C36" s="136"/>
      <c r="D36" s="137"/>
      <c r="E36" s="138"/>
      <c r="F36" s="138"/>
      <c r="G36" s="66">
        <f t="shared" si="0"/>
        <v>0</v>
      </c>
      <c r="H36" s="66">
        <f t="shared" si="1"/>
        <v>0</v>
      </c>
      <c r="I36" s="67">
        <v>563</v>
      </c>
      <c r="J36" s="68">
        <f t="shared" si="2"/>
        <v>0</v>
      </c>
      <c r="K36" s="68">
        <f t="shared" si="3"/>
        <v>0</v>
      </c>
      <c r="L36" s="68">
        <f t="shared" si="4"/>
        <v>0</v>
      </c>
      <c r="M36" s="68">
        <f t="shared" si="5"/>
        <v>0</v>
      </c>
      <c r="N36" s="69">
        <f t="shared" si="6"/>
        <v>0</v>
      </c>
    </row>
    <row r="37" spans="1:14" ht="15">
      <c r="A37" s="64" t="str">
        <f>"ručník"</f>
        <v>ručník</v>
      </c>
      <c r="B37" s="65"/>
      <c r="C37" s="136"/>
      <c r="D37" s="137"/>
      <c r="E37" s="138"/>
      <c r="F37" s="138"/>
      <c r="G37" s="66">
        <f t="shared" si="0"/>
        <v>0</v>
      </c>
      <c r="H37" s="66">
        <f t="shared" si="1"/>
        <v>0</v>
      </c>
      <c r="I37" s="67">
        <v>41610</v>
      </c>
      <c r="J37" s="68">
        <f t="shared" si="2"/>
        <v>0</v>
      </c>
      <c r="K37" s="68">
        <f t="shared" si="3"/>
        <v>0</v>
      </c>
      <c r="L37" s="68">
        <f t="shared" si="4"/>
        <v>0</v>
      </c>
      <c r="M37" s="68">
        <f t="shared" si="5"/>
        <v>0</v>
      </c>
      <c r="N37" s="69">
        <f t="shared" si="6"/>
        <v>0</v>
      </c>
    </row>
    <row r="38" spans="1:14" ht="15">
      <c r="A38" s="127" t="str">
        <f>"ručník froté"</f>
        <v>ručník froté</v>
      </c>
      <c r="B38" s="128"/>
      <c r="C38" s="136"/>
      <c r="D38" s="137"/>
      <c r="E38" s="138"/>
      <c r="F38" s="138"/>
      <c r="G38" s="129">
        <f t="shared" si="0"/>
        <v>0</v>
      </c>
      <c r="H38" s="129">
        <f t="shared" si="1"/>
        <v>0</v>
      </c>
      <c r="I38" s="130">
        <v>10616</v>
      </c>
      <c r="J38" s="131">
        <f t="shared" si="2"/>
        <v>0</v>
      </c>
      <c r="K38" s="131">
        <f t="shared" si="3"/>
        <v>0</v>
      </c>
      <c r="L38" s="131">
        <f t="shared" si="4"/>
        <v>0</v>
      </c>
      <c r="M38" s="131">
        <f t="shared" si="5"/>
        <v>0</v>
      </c>
      <c r="N38" s="132">
        <f t="shared" si="6"/>
        <v>0</v>
      </c>
    </row>
    <row r="39" spans="1:14" ht="15">
      <c r="A39" s="127" t="str">
        <f>"utěrka"</f>
        <v>utěrka</v>
      </c>
      <c r="B39" s="128"/>
      <c r="C39" s="136"/>
      <c r="D39" s="137"/>
      <c r="E39" s="138"/>
      <c r="F39" s="138"/>
      <c r="G39" s="129">
        <f t="shared" si="0"/>
        <v>0</v>
      </c>
      <c r="H39" s="129">
        <f t="shared" si="1"/>
        <v>0</v>
      </c>
      <c r="I39" s="130">
        <v>14568</v>
      </c>
      <c r="J39" s="131">
        <f t="shared" si="2"/>
        <v>0</v>
      </c>
      <c r="K39" s="131">
        <f t="shared" si="3"/>
        <v>0</v>
      </c>
      <c r="L39" s="131">
        <f t="shared" si="4"/>
        <v>0</v>
      </c>
      <c r="M39" s="131">
        <f t="shared" si="5"/>
        <v>0</v>
      </c>
      <c r="N39" s="132">
        <f t="shared" si="6"/>
        <v>0</v>
      </c>
    </row>
    <row r="40" spans="1:14" ht="15">
      <c r="A40" s="127" t="str">
        <f>"ubrus 130x130"</f>
        <v>ubrus 130x130</v>
      </c>
      <c r="B40" s="128"/>
      <c r="C40" s="136"/>
      <c r="D40" s="137"/>
      <c r="E40" s="138"/>
      <c r="F40" s="138"/>
      <c r="G40" s="129">
        <f t="shared" si="0"/>
        <v>0</v>
      </c>
      <c r="H40" s="129">
        <f t="shared" si="1"/>
        <v>0</v>
      </c>
      <c r="I40" s="130">
        <v>50</v>
      </c>
      <c r="J40" s="131">
        <f t="shared" si="2"/>
        <v>0</v>
      </c>
      <c r="K40" s="131">
        <f t="shared" si="3"/>
        <v>0</v>
      </c>
      <c r="L40" s="131">
        <f t="shared" si="4"/>
        <v>0</v>
      </c>
      <c r="M40" s="131">
        <f t="shared" si="5"/>
        <v>0</v>
      </c>
      <c r="N40" s="132">
        <f t="shared" si="6"/>
        <v>0</v>
      </c>
    </row>
    <row r="41" spans="1:14" ht="15">
      <c r="A41" s="127" t="str">
        <f>"halena"</f>
        <v>halena</v>
      </c>
      <c r="B41" s="128" t="str">
        <f>"bílá"</f>
        <v>bílá</v>
      </c>
      <c r="C41" s="136"/>
      <c r="D41" s="137"/>
      <c r="E41" s="138"/>
      <c r="F41" s="138"/>
      <c r="G41" s="129">
        <f t="shared" si="0"/>
        <v>0</v>
      </c>
      <c r="H41" s="129">
        <f t="shared" si="1"/>
        <v>0</v>
      </c>
      <c r="I41" s="130">
        <v>6366</v>
      </c>
      <c r="J41" s="131">
        <f t="shared" si="2"/>
        <v>0</v>
      </c>
      <c r="K41" s="131">
        <f t="shared" si="3"/>
        <v>0</v>
      </c>
      <c r="L41" s="131">
        <f t="shared" si="4"/>
        <v>0</v>
      </c>
      <c r="M41" s="131">
        <f t="shared" si="5"/>
        <v>0</v>
      </c>
      <c r="N41" s="132">
        <f t="shared" si="6"/>
        <v>0</v>
      </c>
    </row>
    <row r="42" spans="1:14" ht="15">
      <c r="A42" s="127" t="str">
        <f>"halena"</f>
        <v>halena</v>
      </c>
      <c r="B42" s="128" t="s">
        <v>2</v>
      </c>
      <c r="C42" s="136"/>
      <c r="D42" s="137"/>
      <c r="E42" s="138"/>
      <c r="F42" s="138"/>
      <c r="G42" s="129">
        <f t="shared" si="0"/>
        <v>0</v>
      </c>
      <c r="H42" s="129">
        <f t="shared" si="1"/>
        <v>0</v>
      </c>
      <c r="I42" s="130">
        <v>25330</v>
      </c>
      <c r="J42" s="131">
        <f t="shared" si="2"/>
        <v>0</v>
      </c>
      <c r="K42" s="131">
        <f t="shared" si="3"/>
        <v>0</v>
      </c>
      <c r="L42" s="131">
        <f t="shared" si="4"/>
        <v>0</v>
      </c>
      <c r="M42" s="131">
        <f t="shared" si="5"/>
        <v>0</v>
      </c>
      <c r="N42" s="132">
        <f t="shared" si="6"/>
        <v>0</v>
      </c>
    </row>
    <row r="43" spans="1:14" ht="15">
      <c r="A43" s="127" t="str">
        <f>"halena"</f>
        <v>halena</v>
      </c>
      <c r="B43" s="128" t="s">
        <v>47</v>
      </c>
      <c r="C43" s="136"/>
      <c r="D43" s="137"/>
      <c r="E43" s="138"/>
      <c r="F43" s="138"/>
      <c r="G43" s="129">
        <f t="shared" si="0"/>
        <v>0</v>
      </c>
      <c r="H43" s="129">
        <f t="shared" si="1"/>
        <v>0</v>
      </c>
      <c r="I43" s="130">
        <v>9371</v>
      </c>
      <c r="J43" s="131">
        <f t="shared" si="2"/>
        <v>0</v>
      </c>
      <c r="K43" s="131">
        <f t="shared" si="3"/>
        <v>0</v>
      </c>
      <c r="L43" s="131">
        <f t="shared" si="4"/>
        <v>0</v>
      </c>
      <c r="M43" s="131">
        <f t="shared" si="5"/>
        <v>0</v>
      </c>
      <c r="N43" s="132">
        <f t="shared" si="6"/>
        <v>0</v>
      </c>
    </row>
    <row r="44" spans="1:14" ht="15">
      <c r="A44" s="127" t="str">
        <f>"halena žlutý P"</f>
        <v>halena žlutý P</v>
      </c>
      <c r="B44" s="128" t="s">
        <v>3</v>
      </c>
      <c r="C44" s="136"/>
      <c r="D44" s="137"/>
      <c r="E44" s="138"/>
      <c r="F44" s="138"/>
      <c r="G44" s="129">
        <f t="shared" si="0"/>
        <v>0</v>
      </c>
      <c r="H44" s="129">
        <f t="shared" si="1"/>
        <v>0</v>
      </c>
      <c r="I44" s="130">
        <v>3123</v>
      </c>
      <c r="J44" s="131">
        <f t="shared" si="2"/>
        <v>0</v>
      </c>
      <c r="K44" s="131">
        <f t="shared" si="3"/>
        <v>0</v>
      </c>
      <c r="L44" s="131">
        <f t="shared" si="4"/>
        <v>0</v>
      </c>
      <c r="M44" s="131">
        <f t="shared" si="5"/>
        <v>0</v>
      </c>
      <c r="N44" s="132">
        <f t="shared" si="6"/>
        <v>0</v>
      </c>
    </row>
    <row r="45" spans="1:14" ht="15">
      <c r="A45" s="127" t="str">
        <f>"halena modrý P"</f>
        <v>halena modrý P</v>
      </c>
      <c r="B45" s="128" t="s">
        <v>3</v>
      </c>
      <c r="C45" s="136"/>
      <c r="D45" s="137"/>
      <c r="E45" s="138"/>
      <c r="F45" s="138"/>
      <c r="G45" s="129">
        <f t="shared" si="0"/>
        <v>0</v>
      </c>
      <c r="H45" s="129">
        <f t="shared" si="1"/>
        <v>0</v>
      </c>
      <c r="I45" s="130">
        <v>27903</v>
      </c>
      <c r="J45" s="131">
        <f t="shared" si="2"/>
        <v>0</v>
      </c>
      <c r="K45" s="131">
        <f t="shared" si="3"/>
        <v>0</v>
      </c>
      <c r="L45" s="131">
        <f t="shared" si="4"/>
        <v>0</v>
      </c>
      <c r="M45" s="131">
        <f t="shared" si="5"/>
        <v>0</v>
      </c>
      <c r="N45" s="132">
        <f t="shared" si="6"/>
        <v>0</v>
      </c>
    </row>
    <row r="46" spans="1:14" ht="15">
      <c r="A46" s="127" t="str">
        <f>"košile (halena s límcem)"</f>
        <v>košile (halena s límcem)</v>
      </c>
      <c r="B46" s="128" t="s">
        <v>3</v>
      </c>
      <c r="C46" s="136"/>
      <c r="D46" s="137"/>
      <c r="E46" s="138"/>
      <c r="F46" s="138"/>
      <c r="G46" s="129">
        <f t="shared" si="0"/>
        <v>0</v>
      </c>
      <c r="H46" s="129">
        <f t="shared" si="1"/>
        <v>0</v>
      </c>
      <c r="I46" s="130">
        <v>4881</v>
      </c>
      <c r="J46" s="131">
        <f t="shared" si="2"/>
        <v>0</v>
      </c>
      <c r="K46" s="131">
        <f t="shared" si="3"/>
        <v>0</v>
      </c>
      <c r="L46" s="131">
        <f t="shared" si="4"/>
        <v>0</v>
      </c>
      <c r="M46" s="131">
        <f t="shared" si="5"/>
        <v>0</v>
      </c>
      <c r="N46" s="132">
        <f t="shared" si="6"/>
        <v>0</v>
      </c>
    </row>
    <row r="47" spans="1:18" ht="15">
      <c r="A47" s="127" t="str">
        <f aca="true" t="shared" si="7" ref="A47:A64">"kalhoty"</f>
        <v>kalhoty</v>
      </c>
      <c r="B47" s="128" t="str">
        <f>"dámské bílé"</f>
        <v>dámské bílé</v>
      </c>
      <c r="C47" s="136"/>
      <c r="D47" s="137"/>
      <c r="E47" s="138"/>
      <c r="F47" s="138"/>
      <c r="G47" s="129">
        <f t="shared" si="0"/>
        <v>0</v>
      </c>
      <c r="H47" s="129">
        <f t="shared" si="1"/>
        <v>0</v>
      </c>
      <c r="I47" s="130">
        <v>18200</v>
      </c>
      <c r="J47" s="131">
        <f t="shared" si="2"/>
        <v>0</v>
      </c>
      <c r="K47" s="131">
        <f t="shared" si="3"/>
        <v>0</v>
      </c>
      <c r="L47" s="131">
        <f t="shared" si="4"/>
        <v>0</v>
      </c>
      <c r="M47" s="131">
        <f t="shared" si="5"/>
        <v>0</v>
      </c>
      <c r="N47" s="132">
        <f t="shared" si="6"/>
        <v>0</v>
      </c>
      <c r="R47" s="104"/>
    </row>
    <row r="48" spans="1:14" ht="15">
      <c r="A48" s="64" t="str">
        <f t="shared" si="7"/>
        <v>kalhoty</v>
      </c>
      <c r="B48" s="65" t="str">
        <f>"dámské zkrác. bílé "</f>
        <v xml:space="preserve">dámské zkrác. bílé </v>
      </c>
      <c r="C48" s="136"/>
      <c r="D48" s="137"/>
      <c r="E48" s="138"/>
      <c r="F48" s="138"/>
      <c r="G48" s="66">
        <f t="shared" si="0"/>
        <v>0</v>
      </c>
      <c r="H48" s="66">
        <f t="shared" si="1"/>
        <v>0</v>
      </c>
      <c r="I48" s="67">
        <v>2740</v>
      </c>
      <c r="J48" s="68">
        <f t="shared" si="2"/>
        <v>0</v>
      </c>
      <c r="K48" s="68">
        <f t="shared" si="3"/>
        <v>0</v>
      </c>
      <c r="L48" s="68">
        <f t="shared" si="4"/>
        <v>0</v>
      </c>
      <c r="M48" s="68">
        <f t="shared" si="5"/>
        <v>0</v>
      </c>
      <c r="N48" s="69">
        <f t="shared" si="6"/>
        <v>0</v>
      </c>
    </row>
    <row r="49" spans="1:14" ht="15">
      <c r="A49" s="64" t="str">
        <f t="shared" si="7"/>
        <v>kalhoty</v>
      </c>
      <c r="B49" s="65" t="str">
        <f>"dámské prodl. bílé "</f>
        <v xml:space="preserve">dámské prodl. bílé </v>
      </c>
      <c r="C49" s="136"/>
      <c r="D49" s="137"/>
      <c r="E49" s="138"/>
      <c r="F49" s="138"/>
      <c r="G49" s="66">
        <f t="shared" si="0"/>
        <v>0</v>
      </c>
      <c r="H49" s="66">
        <f t="shared" si="1"/>
        <v>0</v>
      </c>
      <c r="I49" s="67">
        <v>12721</v>
      </c>
      <c r="J49" s="68">
        <f t="shared" si="2"/>
        <v>0</v>
      </c>
      <c r="K49" s="68">
        <f t="shared" si="3"/>
        <v>0</v>
      </c>
      <c r="L49" s="68">
        <f t="shared" si="4"/>
        <v>0</v>
      </c>
      <c r="M49" s="68">
        <f t="shared" si="5"/>
        <v>0</v>
      </c>
      <c r="N49" s="69">
        <f t="shared" si="6"/>
        <v>0</v>
      </c>
    </row>
    <row r="50" spans="1:14" ht="15">
      <c r="A50" s="64" t="str">
        <f t="shared" si="7"/>
        <v>kalhoty</v>
      </c>
      <c r="B50" s="65" t="str">
        <f>"pánské zkrác. bílé "</f>
        <v xml:space="preserve">pánské zkrác. bílé </v>
      </c>
      <c r="C50" s="136"/>
      <c r="D50" s="137"/>
      <c r="E50" s="138"/>
      <c r="F50" s="138"/>
      <c r="G50" s="66">
        <f t="shared" si="0"/>
        <v>0</v>
      </c>
      <c r="H50" s="66">
        <f t="shared" si="1"/>
        <v>0</v>
      </c>
      <c r="I50" s="67">
        <v>264</v>
      </c>
      <c r="J50" s="68">
        <f t="shared" si="2"/>
        <v>0</v>
      </c>
      <c r="K50" s="68">
        <f t="shared" si="3"/>
        <v>0</v>
      </c>
      <c r="L50" s="68">
        <f t="shared" si="4"/>
        <v>0</v>
      </c>
      <c r="M50" s="68">
        <f t="shared" si="5"/>
        <v>0</v>
      </c>
      <c r="N50" s="69">
        <f t="shared" si="6"/>
        <v>0</v>
      </c>
    </row>
    <row r="51" spans="1:14" ht="15">
      <c r="A51" s="64" t="str">
        <f t="shared" si="7"/>
        <v>kalhoty</v>
      </c>
      <c r="B51" s="65" t="str">
        <f>"pánské bílé "</f>
        <v xml:space="preserve">pánské bílé </v>
      </c>
      <c r="C51" s="136"/>
      <c r="D51" s="137"/>
      <c r="E51" s="138"/>
      <c r="F51" s="138"/>
      <c r="G51" s="66">
        <f t="shared" si="0"/>
        <v>0</v>
      </c>
      <c r="H51" s="66">
        <f t="shared" si="1"/>
        <v>0</v>
      </c>
      <c r="I51" s="67">
        <v>4403</v>
      </c>
      <c r="J51" s="68">
        <f t="shared" si="2"/>
        <v>0</v>
      </c>
      <c r="K51" s="68">
        <f t="shared" si="3"/>
        <v>0</v>
      </c>
      <c r="L51" s="68">
        <f t="shared" si="4"/>
        <v>0</v>
      </c>
      <c r="M51" s="68">
        <f t="shared" si="5"/>
        <v>0</v>
      </c>
      <c r="N51" s="69">
        <f t="shared" si="6"/>
        <v>0</v>
      </c>
    </row>
    <row r="52" spans="1:14" ht="15">
      <c r="A52" s="64" t="str">
        <f t="shared" si="7"/>
        <v>kalhoty</v>
      </c>
      <c r="B52" s="65" t="str">
        <f>"pánské prodl. bílé "</f>
        <v xml:space="preserve">pánské prodl. bílé </v>
      </c>
      <c r="C52" s="136"/>
      <c r="D52" s="137"/>
      <c r="E52" s="138"/>
      <c r="F52" s="138"/>
      <c r="G52" s="66">
        <f t="shared" si="0"/>
        <v>0</v>
      </c>
      <c r="H52" s="66">
        <f t="shared" si="1"/>
        <v>0</v>
      </c>
      <c r="I52" s="67">
        <v>2035</v>
      </c>
      <c r="J52" s="68">
        <f t="shared" si="2"/>
        <v>0</v>
      </c>
      <c r="K52" s="68">
        <f t="shared" si="3"/>
        <v>0</v>
      </c>
      <c r="L52" s="68">
        <f t="shared" si="4"/>
        <v>0</v>
      </c>
      <c r="M52" s="68">
        <f t="shared" si="5"/>
        <v>0</v>
      </c>
      <c r="N52" s="69">
        <f t="shared" si="6"/>
        <v>0</v>
      </c>
    </row>
    <row r="53" spans="1:18" ht="15">
      <c r="A53" s="64" t="str">
        <f t="shared" si="7"/>
        <v>kalhoty</v>
      </c>
      <c r="B53" s="65" t="str">
        <f>"dámské zkrác. zelené "</f>
        <v xml:space="preserve">dámské zkrác. zelené </v>
      </c>
      <c r="C53" s="136"/>
      <c r="D53" s="137"/>
      <c r="E53" s="138"/>
      <c r="F53" s="138"/>
      <c r="G53" s="66">
        <f t="shared" si="0"/>
        <v>0</v>
      </c>
      <c r="H53" s="66">
        <f t="shared" si="1"/>
        <v>0</v>
      </c>
      <c r="I53" s="67">
        <v>21</v>
      </c>
      <c r="J53" s="68">
        <f t="shared" si="2"/>
        <v>0</v>
      </c>
      <c r="K53" s="68">
        <f t="shared" si="3"/>
        <v>0</v>
      </c>
      <c r="L53" s="68">
        <f t="shared" si="4"/>
        <v>0</v>
      </c>
      <c r="M53" s="68">
        <f t="shared" si="5"/>
        <v>0</v>
      </c>
      <c r="N53" s="69">
        <f t="shared" si="6"/>
        <v>0</v>
      </c>
      <c r="R53" s="104"/>
    </row>
    <row r="54" spans="1:14" ht="15">
      <c r="A54" s="64" t="str">
        <f t="shared" si="7"/>
        <v>kalhoty</v>
      </c>
      <c r="B54" s="65" t="str">
        <f>"pánské zkrác. zelené "</f>
        <v xml:space="preserve">pánské zkrác. zelené </v>
      </c>
      <c r="C54" s="136"/>
      <c r="D54" s="137"/>
      <c r="E54" s="138"/>
      <c r="F54" s="138"/>
      <c r="G54" s="66">
        <f t="shared" si="0"/>
        <v>0</v>
      </c>
      <c r="H54" s="66">
        <f t="shared" si="1"/>
        <v>0</v>
      </c>
      <c r="I54" s="67">
        <v>16</v>
      </c>
      <c r="J54" s="68">
        <f t="shared" si="2"/>
        <v>0</v>
      </c>
      <c r="K54" s="68">
        <f t="shared" si="3"/>
        <v>0</v>
      </c>
      <c r="L54" s="68">
        <f t="shared" si="4"/>
        <v>0</v>
      </c>
      <c r="M54" s="68">
        <f t="shared" si="5"/>
        <v>0</v>
      </c>
      <c r="N54" s="69">
        <f t="shared" si="6"/>
        <v>0</v>
      </c>
    </row>
    <row r="55" spans="1:14" ht="15">
      <c r="A55" s="64" t="str">
        <f t="shared" si="7"/>
        <v>kalhoty</v>
      </c>
      <c r="B55" s="65" t="str">
        <f>"dámské prodl. zelené "</f>
        <v xml:space="preserve">dámské prodl. zelené </v>
      </c>
      <c r="C55" s="136"/>
      <c r="D55" s="137"/>
      <c r="E55" s="138"/>
      <c r="F55" s="138"/>
      <c r="G55" s="66">
        <f t="shared" si="0"/>
        <v>0</v>
      </c>
      <c r="H55" s="66">
        <f t="shared" si="1"/>
        <v>0</v>
      </c>
      <c r="I55" s="67">
        <v>5901</v>
      </c>
      <c r="J55" s="68">
        <f t="shared" si="2"/>
        <v>0</v>
      </c>
      <c r="K55" s="68">
        <f t="shared" si="3"/>
        <v>0</v>
      </c>
      <c r="L55" s="68">
        <f t="shared" si="4"/>
        <v>0</v>
      </c>
      <c r="M55" s="68">
        <f t="shared" si="5"/>
        <v>0</v>
      </c>
      <c r="N55" s="69">
        <f t="shared" si="6"/>
        <v>0</v>
      </c>
    </row>
    <row r="56" spans="1:14" ht="15">
      <c r="A56" s="64" t="str">
        <f t="shared" si="7"/>
        <v>kalhoty</v>
      </c>
      <c r="B56" s="65" t="str">
        <f>"pánské prodl. zelené "</f>
        <v xml:space="preserve">pánské prodl. zelené </v>
      </c>
      <c r="C56" s="136"/>
      <c r="D56" s="137"/>
      <c r="E56" s="138"/>
      <c r="F56" s="138"/>
      <c r="G56" s="66">
        <f t="shared" si="0"/>
        <v>0</v>
      </c>
      <c r="H56" s="66">
        <f t="shared" si="1"/>
        <v>0</v>
      </c>
      <c r="I56" s="67">
        <v>1073</v>
      </c>
      <c r="J56" s="68">
        <f t="shared" si="2"/>
        <v>0</v>
      </c>
      <c r="K56" s="68">
        <f t="shared" si="3"/>
        <v>0</v>
      </c>
      <c r="L56" s="68">
        <f t="shared" si="4"/>
        <v>0</v>
      </c>
      <c r="M56" s="68">
        <f t="shared" si="5"/>
        <v>0</v>
      </c>
      <c r="N56" s="69">
        <f t="shared" si="6"/>
        <v>0</v>
      </c>
    </row>
    <row r="57" spans="1:14" ht="15">
      <c r="A57" s="64" t="str">
        <f t="shared" si="7"/>
        <v>kalhoty</v>
      </c>
      <c r="B57" s="65" t="str">
        <f>"dámské zelené "</f>
        <v xml:space="preserve">dámské zelené </v>
      </c>
      <c r="C57" s="136"/>
      <c r="D57" s="137"/>
      <c r="E57" s="138"/>
      <c r="F57" s="138"/>
      <c r="G57" s="66">
        <f t="shared" si="0"/>
        <v>0</v>
      </c>
      <c r="H57" s="66">
        <f t="shared" si="1"/>
        <v>0</v>
      </c>
      <c r="I57" s="67">
        <v>9657</v>
      </c>
      <c r="J57" s="68">
        <f t="shared" si="2"/>
        <v>0</v>
      </c>
      <c r="K57" s="68">
        <f t="shared" si="3"/>
        <v>0</v>
      </c>
      <c r="L57" s="68">
        <f t="shared" si="4"/>
        <v>0</v>
      </c>
      <c r="M57" s="68">
        <f t="shared" si="5"/>
        <v>0</v>
      </c>
      <c r="N57" s="69">
        <f t="shared" si="6"/>
        <v>0</v>
      </c>
    </row>
    <row r="58" spans="1:14" ht="15">
      <c r="A58" s="64" t="str">
        <f t="shared" si="7"/>
        <v>kalhoty</v>
      </c>
      <c r="B58" s="65" t="str">
        <f>"pánské zelené "</f>
        <v xml:space="preserve">pánské zelené </v>
      </c>
      <c r="C58" s="136"/>
      <c r="D58" s="137"/>
      <c r="E58" s="138"/>
      <c r="F58" s="138"/>
      <c r="G58" s="66">
        <f t="shared" si="0"/>
        <v>0</v>
      </c>
      <c r="H58" s="66">
        <f t="shared" si="1"/>
        <v>0</v>
      </c>
      <c r="I58" s="67">
        <v>6438</v>
      </c>
      <c r="J58" s="68">
        <f t="shared" si="2"/>
        <v>0</v>
      </c>
      <c r="K58" s="68">
        <f t="shared" si="3"/>
        <v>0</v>
      </c>
      <c r="L58" s="68">
        <f t="shared" si="4"/>
        <v>0</v>
      </c>
      <c r="M58" s="68">
        <f t="shared" si="5"/>
        <v>0</v>
      </c>
      <c r="N58" s="69">
        <f t="shared" si="6"/>
        <v>0</v>
      </c>
    </row>
    <row r="59" spans="1:18" ht="15">
      <c r="A59" s="64" t="str">
        <f t="shared" si="7"/>
        <v>kalhoty</v>
      </c>
      <c r="B59" s="65" t="str">
        <f>"dámské zkrác. žluté "</f>
        <v xml:space="preserve">dámské zkrác. žluté </v>
      </c>
      <c r="C59" s="136"/>
      <c r="D59" s="137"/>
      <c r="E59" s="138"/>
      <c r="F59" s="138"/>
      <c r="G59" s="66">
        <f t="shared" si="0"/>
        <v>0</v>
      </c>
      <c r="H59" s="66">
        <f t="shared" si="1"/>
        <v>0</v>
      </c>
      <c r="I59" s="67">
        <v>1023</v>
      </c>
      <c r="J59" s="68">
        <f t="shared" si="2"/>
        <v>0</v>
      </c>
      <c r="K59" s="68">
        <f t="shared" si="3"/>
        <v>0</v>
      </c>
      <c r="L59" s="68">
        <f t="shared" si="4"/>
        <v>0</v>
      </c>
      <c r="M59" s="68">
        <f t="shared" si="5"/>
        <v>0</v>
      </c>
      <c r="N59" s="69">
        <f t="shared" si="6"/>
        <v>0</v>
      </c>
      <c r="R59" s="104"/>
    </row>
    <row r="60" spans="1:14" ht="15">
      <c r="A60" s="64" t="str">
        <f t="shared" si="7"/>
        <v>kalhoty</v>
      </c>
      <c r="B60" s="65" t="str">
        <f>"pánské žluté "</f>
        <v xml:space="preserve">pánské žluté </v>
      </c>
      <c r="C60" s="136"/>
      <c r="D60" s="137"/>
      <c r="E60" s="138"/>
      <c r="F60" s="138"/>
      <c r="G60" s="66">
        <f t="shared" si="0"/>
        <v>0</v>
      </c>
      <c r="H60" s="66">
        <f t="shared" si="1"/>
        <v>0</v>
      </c>
      <c r="I60" s="67">
        <v>1227</v>
      </c>
      <c r="J60" s="68">
        <f t="shared" si="2"/>
        <v>0</v>
      </c>
      <c r="K60" s="68">
        <f t="shared" si="3"/>
        <v>0</v>
      </c>
      <c r="L60" s="68">
        <f t="shared" si="4"/>
        <v>0</v>
      </c>
      <c r="M60" s="68">
        <f t="shared" si="5"/>
        <v>0</v>
      </c>
      <c r="N60" s="69">
        <f t="shared" si="6"/>
        <v>0</v>
      </c>
    </row>
    <row r="61" spans="1:14" ht="15">
      <c r="A61" s="64" t="str">
        <f t="shared" si="7"/>
        <v>kalhoty</v>
      </c>
      <c r="B61" s="65" t="str">
        <f>"pánské prodl. žluté "</f>
        <v xml:space="preserve">pánské prodl. žluté </v>
      </c>
      <c r="C61" s="136"/>
      <c r="D61" s="137"/>
      <c r="E61" s="138"/>
      <c r="F61" s="138"/>
      <c r="G61" s="66">
        <f t="shared" si="0"/>
        <v>0</v>
      </c>
      <c r="H61" s="66">
        <f t="shared" si="1"/>
        <v>0</v>
      </c>
      <c r="I61" s="67">
        <v>136</v>
      </c>
      <c r="J61" s="68">
        <f t="shared" si="2"/>
        <v>0</v>
      </c>
      <c r="K61" s="68">
        <f t="shared" si="3"/>
        <v>0</v>
      </c>
      <c r="L61" s="68">
        <f t="shared" si="4"/>
        <v>0</v>
      </c>
      <c r="M61" s="68">
        <f t="shared" si="5"/>
        <v>0</v>
      </c>
      <c r="N61" s="69">
        <f t="shared" si="6"/>
        <v>0</v>
      </c>
    </row>
    <row r="62" spans="1:14" ht="15">
      <c r="A62" s="64" t="str">
        <f t="shared" si="7"/>
        <v>kalhoty</v>
      </c>
      <c r="B62" s="65" t="str">
        <f>"dámské prodl. žluté "</f>
        <v xml:space="preserve">dámské prodl. žluté </v>
      </c>
      <c r="C62" s="136"/>
      <c r="D62" s="137"/>
      <c r="E62" s="138"/>
      <c r="F62" s="138"/>
      <c r="G62" s="66">
        <f t="shared" si="0"/>
        <v>0</v>
      </c>
      <c r="H62" s="66">
        <f t="shared" si="1"/>
        <v>0</v>
      </c>
      <c r="I62" s="67">
        <v>682</v>
      </c>
      <c r="J62" s="68">
        <f t="shared" si="2"/>
        <v>0</v>
      </c>
      <c r="K62" s="68">
        <f t="shared" si="3"/>
        <v>0</v>
      </c>
      <c r="L62" s="68">
        <f t="shared" si="4"/>
        <v>0</v>
      </c>
      <c r="M62" s="68">
        <f t="shared" si="5"/>
        <v>0</v>
      </c>
      <c r="N62" s="69">
        <f t="shared" si="6"/>
        <v>0</v>
      </c>
    </row>
    <row r="63" spans="1:14" ht="15">
      <c r="A63" s="64" t="str">
        <f t="shared" si="7"/>
        <v>kalhoty</v>
      </c>
      <c r="B63" s="65" t="str">
        <f>"dámské žluté "</f>
        <v xml:space="preserve">dámské žluté </v>
      </c>
      <c r="C63" s="136"/>
      <c r="D63" s="137"/>
      <c r="E63" s="138"/>
      <c r="F63" s="138"/>
      <c r="G63" s="66">
        <f t="shared" si="0"/>
        <v>0</v>
      </c>
      <c r="H63" s="66">
        <f t="shared" si="1"/>
        <v>0</v>
      </c>
      <c r="I63" s="67">
        <v>4363</v>
      </c>
      <c r="J63" s="68">
        <f t="shared" si="2"/>
        <v>0</v>
      </c>
      <c r="K63" s="68">
        <f t="shared" si="3"/>
        <v>0</v>
      </c>
      <c r="L63" s="68">
        <f t="shared" si="4"/>
        <v>0</v>
      </c>
      <c r="M63" s="68">
        <f t="shared" si="5"/>
        <v>0</v>
      </c>
      <c r="N63" s="69">
        <f t="shared" si="6"/>
        <v>0</v>
      </c>
    </row>
    <row r="64" spans="1:14" ht="15">
      <c r="A64" s="64" t="str">
        <f t="shared" si="7"/>
        <v>kalhoty</v>
      </c>
      <c r="B64" s="65" t="str">
        <f>"pánské zkrác. žluté "</f>
        <v xml:space="preserve">pánské zkrác. žluté </v>
      </c>
      <c r="C64" s="136"/>
      <c r="D64" s="137"/>
      <c r="E64" s="138"/>
      <c r="F64" s="138"/>
      <c r="G64" s="66">
        <f t="shared" si="0"/>
        <v>0</v>
      </c>
      <c r="H64" s="66">
        <f t="shared" si="1"/>
        <v>0</v>
      </c>
      <c r="I64" s="67">
        <v>341</v>
      </c>
      <c r="J64" s="68">
        <f t="shared" si="2"/>
        <v>0</v>
      </c>
      <c r="K64" s="68">
        <f t="shared" si="3"/>
        <v>0</v>
      </c>
      <c r="L64" s="68">
        <f t="shared" si="4"/>
        <v>0</v>
      </c>
      <c r="M64" s="68">
        <f t="shared" si="5"/>
        <v>0</v>
      </c>
      <c r="N64" s="69">
        <f t="shared" si="6"/>
        <v>0</v>
      </c>
    </row>
    <row r="65" spans="1:14" s="186" customFormat="1" ht="15">
      <c r="A65" s="177" t="s">
        <v>50</v>
      </c>
      <c r="B65" s="178" t="s">
        <v>3</v>
      </c>
      <c r="C65" s="179"/>
      <c r="D65" s="180"/>
      <c r="E65" s="181"/>
      <c r="F65" s="181"/>
      <c r="G65" s="182">
        <f aca="true" t="shared" si="8" ref="G65">D65*0.21</f>
        <v>0</v>
      </c>
      <c r="H65" s="182">
        <f aca="true" t="shared" si="9" ref="H65">ROUND(D65+G65,2)</f>
        <v>0</v>
      </c>
      <c r="I65" s="183">
        <v>1422</v>
      </c>
      <c r="J65" s="184">
        <f aca="true" t="shared" si="10" ref="J65">D65*I65</f>
        <v>0</v>
      </c>
      <c r="K65" s="184">
        <f aca="true" t="shared" si="11" ref="K65">+I65*E65</f>
        <v>0</v>
      </c>
      <c r="L65" s="184">
        <f aca="true" t="shared" si="12" ref="L65">+I65*F65</f>
        <v>0</v>
      </c>
      <c r="M65" s="184">
        <f aca="true" t="shared" si="13" ref="M65">J65*0.21</f>
        <v>0</v>
      </c>
      <c r="N65" s="185">
        <f aca="true" t="shared" si="14" ref="N65">ROUND(J65+M65,2)</f>
        <v>0</v>
      </c>
    </row>
    <row r="66" spans="1:14" ht="15">
      <c r="A66" s="64" t="str">
        <f>"plášť"</f>
        <v>plášť</v>
      </c>
      <c r="B66" s="65" t="str">
        <f>"bílý "</f>
        <v xml:space="preserve">bílý </v>
      </c>
      <c r="C66" s="136"/>
      <c r="D66" s="137"/>
      <c r="E66" s="138"/>
      <c r="F66" s="138"/>
      <c r="G66" s="66">
        <f t="shared" si="0"/>
        <v>0</v>
      </c>
      <c r="H66" s="66">
        <f t="shared" si="1"/>
        <v>0</v>
      </c>
      <c r="I66" s="67">
        <v>1604</v>
      </c>
      <c r="J66" s="68">
        <f t="shared" si="2"/>
        <v>0</v>
      </c>
      <c r="K66" s="68">
        <f t="shared" si="3"/>
        <v>0</v>
      </c>
      <c r="L66" s="68">
        <f t="shared" si="4"/>
        <v>0</v>
      </c>
      <c r="M66" s="68">
        <f t="shared" si="5"/>
        <v>0</v>
      </c>
      <c r="N66" s="69">
        <f t="shared" si="6"/>
        <v>0</v>
      </c>
    </row>
    <row r="67" spans="1:14" ht="15">
      <c r="A67" s="64" t="str">
        <f>"sukně"</f>
        <v>sukně</v>
      </c>
      <c r="B67" s="65" t="str">
        <f>"bílá "</f>
        <v xml:space="preserve">bílá </v>
      </c>
      <c r="C67" s="136"/>
      <c r="D67" s="137"/>
      <c r="E67" s="138"/>
      <c r="F67" s="138"/>
      <c r="G67" s="66">
        <f t="shared" si="0"/>
        <v>0</v>
      </c>
      <c r="H67" s="66">
        <f t="shared" si="1"/>
        <v>0</v>
      </c>
      <c r="I67" s="67">
        <v>973</v>
      </c>
      <c r="J67" s="68">
        <f t="shared" si="2"/>
        <v>0</v>
      </c>
      <c r="K67" s="68">
        <f t="shared" si="3"/>
        <v>0</v>
      </c>
      <c r="L67" s="68">
        <f t="shared" si="4"/>
        <v>0</v>
      </c>
      <c r="M67" s="68">
        <f t="shared" si="5"/>
        <v>0</v>
      </c>
      <c r="N67" s="69">
        <f t="shared" si="6"/>
        <v>0</v>
      </c>
    </row>
    <row r="68" spans="1:14" ht="15">
      <c r="A68" s="64" t="str">
        <f>"sukně"</f>
        <v>sukně</v>
      </c>
      <c r="B68" s="65" t="str">
        <f>"žlutá "</f>
        <v xml:space="preserve">žlutá </v>
      </c>
      <c r="C68" s="136"/>
      <c r="D68" s="137"/>
      <c r="E68" s="138"/>
      <c r="F68" s="138"/>
      <c r="G68" s="66">
        <f t="shared" si="0"/>
        <v>0</v>
      </c>
      <c r="H68" s="66">
        <f t="shared" si="1"/>
        <v>0</v>
      </c>
      <c r="I68" s="67">
        <v>102</v>
      </c>
      <c r="J68" s="68">
        <f t="shared" si="2"/>
        <v>0</v>
      </c>
      <c r="K68" s="68">
        <f t="shared" si="3"/>
        <v>0</v>
      </c>
      <c r="L68" s="68">
        <f t="shared" si="4"/>
        <v>0</v>
      </c>
      <c r="M68" s="68">
        <f t="shared" si="5"/>
        <v>0</v>
      </c>
      <c r="N68" s="69">
        <f t="shared" si="6"/>
        <v>0</v>
      </c>
    </row>
    <row r="69" spans="1:14" ht="15">
      <c r="A69" s="64" t="str">
        <f>"šortky"</f>
        <v>šortky</v>
      </c>
      <c r="B69" s="65" t="str">
        <f>"bílé "</f>
        <v xml:space="preserve">bílé </v>
      </c>
      <c r="C69" s="136"/>
      <c r="D69" s="137"/>
      <c r="E69" s="138"/>
      <c r="F69" s="138"/>
      <c r="G69" s="66">
        <f t="shared" si="0"/>
        <v>0</v>
      </c>
      <c r="H69" s="66">
        <f t="shared" si="1"/>
        <v>0</v>
      </c>
      <c r="I69" s="67">
        <v>2902</v>
      </c>
      <c r="J69" s="68">
        <f t="shared" si="2"/>
        <v>0</v>
      </c>
      <c r="K69" s="68">
        <f t="shared" si="3"/>
        <v>0</v>
      </c>
      <c r="L69" s="68">
        <f t="shared" si="4"/>
        <v>0</v>
      </c>
      <c r="M69" s="68">
        <f t="shared" si="5"/>
        <v>0</v>
      </c>
      <c r="N69" s="69">
        <f t="shared" si="6"/>
        <v>0</v>
      </c>
    </row>
    <row r="70" spans="1:14" ht="15">
      <c r="A70" s="64" t="str">
        <f>"šortky"</f>
        <v>šortky</v>
      </c>
      <c r="B70" s="65" t="str">
        <f>"žluté "</f>
        <v xml:space="preserve">žluté </v>
      </c>
      <c r="C70" s="136"/>
      <c r="D70" s="137"/>
      <c r="E70" s="138"/>
      <c r="F70" s="138"/>
      <c r="G70" s="66">
        <f aca="true" t="shared" si="15" ref="G70:G72">D70*0.21</f>
        <v>0</v>
      </c>
      <c r="H70" s="66">
        <f aca="true" t="shared" si="16" ref="H70:H72">ROUND(D70+G70,2)</f>
        <v>0</v>
      </c>
      <c r="I70" s="67">
        <v>885</v>
      </c>
      <c r="J70" s="68">
        <f aca="true" t="shared" si="17" ref="J70:J72">D70*I70</f>
        <v>0</v>
      </c>
      <c r="K70" s="68">
        <f aca="true" t="shared" si="18" ref="K70:K72">+I70*E70</f>
        <v>0</v>
      </c>
      <c r="L70" s="68">
        <f aca="true" t="shared" si="19" ref="L70:L72">+I70*F70</f>
        <v>0</v>
      </c>
      <c r="M70" s="68">
        <f aca="true" t="shared" si="20" ref="M70:M72">J70*0.21</f>
        <v>0</v>
      </c>
      <c r="N70" s="69">
        <f aca="true" t="shared" si="21" ref="N70:N72">ROUND(J70+M70,2)</f>
        <v>0</v>
      </c>
    </row>
    <row r="71" spans="1:14" ht="15">
      <c r="A71" s="64" t="str">
        <f>"halena bílá TÝDENNÍ SAZBA"</f>
        <v>halena bílá TÝDENNÍ SAZBA</v>
      </c>
      <c r="B71" s="65" t="str">
        <f>"kuchyně KV bílá "</f>
        <v xml:space="preserve">kuchyně KV bílá </v>
      </c>
      <c r="C71" s="136"/>
      <c r="D71" s="137"/>
      <c r="E71" s="138"/>
      <c r="F71" s="138"/>
      <c r="G71" s="66">
        <f t="shared" si="15"/>
        <v>0</v>
      </c>
      <c r="H71" s="66">
        <f t="shared" si="16"/>
        <v>0</v>
      </c>
      <c r="I71" s="67">
        <v>3440</v>
      </c>
      <c r="J71" s="68">
        <f t="shared" si="17"/>
        <v>0</v>
      </c>
      <c r="K71" s="68">
        <f t="shared" si="18"/>
        <v>0</v>
      </c>
      <c r="L71" s="68">
        <f t="shared" si="19"/>
        <v>0</v>
      </c>
      <c r="M71" s="68">
        <f t="shared" si="20"/>
        <v>0</v>
      </c>
      <c r="N71" s="69">
        <f t="shared" si="21"/>
        <v>0</v>
      </c>
    </row>
    <row r="72" spans="1:14" ht="15.75" thickBot="1">
      <c r="A72" s="70" t="str">
        <f>"kalhoty bílé TÝDENNÍ SAZBA"</f>
        <v>kalhoty bílé TÝDENNÍ SAZBA</v>
      </c>
      <c r="B72" s="71" t="str">
        <f>"kuchyně KV bílé "</f>
        <v xml:space="preserve">kuchyně KV bílé </v>
      </c>
      <c r="C72" s="90"/>
      <c r="D72" s="89"/>
      <c r="E72" s="139"/>
      <c r="F72" s="139"/>
      <c r="G72" s="72">
        <f t="shared" si="15"/>
        <v>0</v>
      </c>
      <c r="H72" s="72">
        <f t="shared" si="16"/>
        <v>0</v>
      </c>
      <c r="I72" s="73">
        <v>3440</v>
      </c>
      <c r="J72" s="74">
        <f t="shared" si="17"/>
        <v>0</v>
      </c>
      <c r="K72" s="74">
        <f t="shared" si="18"/>
        <v>0</v>
      </c>
      <c r="L72" s="74">
        <f t="shared" si="19"/>
        <v>0</v>
      </c>
      <c r="M72" s="74">
        <f t="shared" si="20"/>
        <v>0</v>
      </c>
      <c r="N72" s="75">
        <f t="shared" si="21"/>
        <v>0</v>
      </c>
    </row>
    <row r="73" spans="1:14" s="76" customFormat="1" ht="15.75" thickBot="1">
      <c r="A73" s="143" t="s">
        <v>26</v>
      </c>
      <c r="B73" s="144"/>
      <c r="C73" s="144"/>
      <c r="D73" s="144"/>
      <c r="E73" s="144"/>
      <c r="F73" s="144"/>
      <c r="G73" s="144"/>
      <c r="H73" s="144"/>
      <c r="I73" s="145"/>
      <c r="J73" s="79">
        <f aca="true" t="shared" si="22" ref="J73:N73">SUM(J5:J72)</f>
        <v>0</v>
      </c>
      <c r="K73" s="79">
        <f t="shared" si="22"/>
        <v>0</v>
      </c>
      <c r="L73" s="79">
        <f t="shared" si="22"/>
        <v>0</v>
      </c>
      <c r="M73" s="80">
        <f t="shared" si="22"/>
        <v>0</v>
      </c>
      <c r="N73" s="81">
        <f t="shared" si="22"/>
        <v>0</v>
      </c>
    </row>
    <row r="74" spans="1:14" s="78" customFormat="1" ht="15.75" thickBot="1">
      <c r="A74" s="146" t="s">
        <v>27</v>
      </c>
      <c r="B74" s="147"/>
      <c r="C74" s="147"/>
      <c r="D74" s="147"/>
      <c r="E74" s="147"/>
      <c r="F74" s="147"/>
      <c r="G74" s="147"/>
      <c r="H74" s="147"/>
      <c r="I74" s="148"/>
      <c r="J74" s="77">
        <f>J73*4</f>
        <v>0</v>
      </c>
      <c r="K74" s="82">
        <f aca="true" t="shared" si="23" ref="K74:L74">K73*4</f>
        <v>0</v>
      </c>
      <c r="L74" s="82">
        <f t="shared" si="23"/>
        <v>0</v>
      </c>
      <c r="M74" s="83">
        <f>M73*4</f>
        <v>0</v>
      </c>
      <c r="N74" s="84">
        <f>N73*4</f>
        <v>0</v>
      </c>
    </row>
    <row r="75" ht="66.75" customHeight="1">
      <c r="A75" s="51" t="s">
        <v>13</v>
      </c>
    </row>
    <row r="76" ht="72" customHeight="1">
      <c r="A76" s="51" t="s">
        <v>14</v>
      </c>
    </row>
    <row r="77" ht="15">
      <c r="A77" s="51" t="s">
        <v>43</v>
      </c>
    </row>
  </sheetData>
  <mergeCells count="3">
    <mergeCell ref="A2:N2"/>
    <mergeCell ref="A73:I73"/>
    <mergeCell ref="A74:I7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90" zoomScaleNormal="90" workbookViewId="0" topLeftCell="A1">
      <pane ySplit="4" topLeftCell="A59" activePane="bottomLeft" state="frozen"/>
      <selection pane="bottomLeft" activeCell="C14" sqref="C14"/>
    </sheetView>
  </sheetViews>
  <sheetFormatPr defaultColWidth="8.8515625" defaultRowHeight="15"/>
  <cols>
    <col min="1" max="1" width="51.421875" style="0" bestFit="1" customWidth="1"/>
    <col min="2" max="2" width="19.421875" style="0" customWidth="1"/>
    <col min="3" max="3" width="11.7109375" style="0" customWidth="1"/>
    <col min="4" max="4" width="9.140625" style="0" customWidth="1"/>
    <col min="5" max="5" width="9.421875" style="0" customWidth="1"/>
    <col min="6" max="6" width="11.421875" style="0" customWidth="1"/>
    <col min="7" max="7" width="9.8515625" style="0" customWidth="1"/>
    <col min="8" max="8" width="9.421875" style="0" customWidth="1"/>
    <col min="9" max="9" width="10.28125" style="0" customWidth="1"/>
  </cols>
  <sheetData>
    <row r="1" ht="15.75">
      <c r="A1" s="101" t="s">
        <v>42</v>
      </c>
    </row>
    <row r="2" spans="1:10" ht="53.25" customHeight="1">
      <c r="A2" s="149" t="s">
        <v>33</v>
      </c>
      <c r="B2" s="149"/>
      <c r="C2" s="149"/>
      <c r="D2" s="149"/>
      <c r="E2" s="149"/>
      <c r="F2" s="149"/>
      <c r="G2" s="149"/>
      <c r="H2" s="149"/>
      <c r="I2" s="149"/>
      <c r="J2" s="1"/>
    </row>
    <row r="3" spans="1:9" ht="65.2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s="25" customFormat="1" ht="97.5" customHeight="1" thickBot="1">
      <c r="A4" s="13" t="s">
        <v>0</v>
      </c>
      <c r="B4" s="88" t="s">
        <v>41</v>
      </c>
      <c r="C4" s="32" t="s">
        <v>4</v>
      </c>
      <c r="D4" s="32" t="s">
        <v>28</v>
      </c>
      <c r="E4" s="32" t="s">
        <v>32</v>
      </c>
      <c r="F4" s="32" t="s">
        <v>5</v>
      </c>
      <c r="G4" s="32" t="s">
        <v>24</v>
      </c>
      <c r="H4" s="32" t="s">
        <v>29</v>
      </c>
      <c r="I4" s="33" t="s">
        <v>25</v>
      </c>
    </row>
    <row r="5" spans="1:9" ht="15">
      <c r="A5" s="122" t="str">
        <f>"prostěradlo"</f>
        <v>prostěradlo</v>
      </c>
      <c r="B5" s="140"/>
      <c r="C5" s="141"/>
      <c r="D5" s="123">
        <f aca="true" t="shared" si="0" ref="D5:D68">C5*0.21</f>
        <v>0</v>
      </c>
      <c r="E5" s="123">
        <f aca="true" t="shared" si="1" ref="E5:E68">ROUND(C5+D5,2)</f>
        <v>0</v>
      </c>
      <c r="F5" s="124">
        <v>59</v>
      </c>
      <c r="G5" s="125">
        <f aca="true" t="shared" si="2" ref="G5:G68">C5*F5</f>
        <v>0</v>
      </c>
      <c r="H5" s="125">
        <f aca="true" t="shared" si="3" ref="H5:H68">G5*0.21</f>
        <v>0</v>
      </c>
      <c r="I5" s="126">
        <f aca="true" t="shared" si="4" ref="I5:I68">ROUND(G5+H5,2)</f>
        <v>0</v>
      </c>
    </row>
    <row r="6" spans="1:9" ht="15">
      <c r="A6" s="120" t="str">
        <f>"prostěradlo froté"</f>
        <v>prostěradlo froté</v>
      </c>
      <c r="B6" s="136"/>
      <c r="C6" s="137"/>
      <c r="D6" s="110">
        <f t="shared" si="0"/>
        <v>0</v>
      </c>
      <c r="E6" s="110">
        <f t="shared" si="1"/>
        <v>0</v>
      </c>
      <c r="F6" s="121">
        <v>5</v>
      </c>
      <c r="G6" s="112">
        <f t="shared" si="2"/>
        <v>0</v>
      </c>
      <c r="H6" s="112">
        <f t="shared" si="3"/>
        <v>0</v>
      </c>
      <c r="I6" s="113">
        <f t="shared" si="4"/>
        <v>0</v>
      </c>
    </row>
    <row r="7" spans="1:9" ht="15">
      <c r="A7" s="120" t="str">
        <f>"povlak na přikrývku"</f>
        <v>povlak na přikrývku</v>
      </c>
      <c r="B7" s="136"/>
      <c r="C7" s="137"/>
      <c r="D7" s="110">
        <f t="shared" si="0"/>
        <v>0</v>
      </c>
      <c r="E7" s="110">
        <f t="shared" si="1"/>
        <v>0</v>
      </c>
      <c r="F7" s="121">
        <v>2</v>
      </c>
      <c r="G7" s="112">
        <f t="shared" si="2"/>
        <v>0</v>
      </c>
      <c r="H7" s="112">
        <f t="shared" si="3"/>
        <v>0</v>
      </c>
      <c r="I7" s="113">
        <f t="shared" si="4"/>
        <v>0</v>
      </c>
    </row>
    <row r="8" spans="1:9" ht="15">
      <c r="A8" s="120" t="str">
        <f>"povlak na polštář, dětské prostěradlo"</f>
        <v>povlak na polštář, dětské prostěradlo</v>
      </c>
      <c r="B8" s="136"/>
      <c r="C8" s="137"/>
      <c r="D8" s="110">
        <f t="shared" si="0"/>
        <v>0</v>
      </c>
      <c r="E8" s="110">
        <f t="shared" si="1"/>
        <v>0</v>
      </c>
      <c r="F8" s="121">
        <v>10</v>
      </c>
      <c r="G8" s="112">
        <f t="shared" si="2"/>
        <v>0</v>
      </c>
      <c r="H8" s="112">
        <f t="shared" si="3"/>
        <v>0</v>
      </c>
      <c r="I8" s="113">
        <f t="shared" si="4"/>
        <v>0</v>
      </c>
    </row>
    <row r="9" spans="1:9" ht="15">
      <c r="A9" s="120" t="str">
        <f>"povlak na polštář dětský"</f>
        <v>povlak na polštář dětský</v>
      </c>
      <c r="B9" s="136"/>
      <c r="C9" s="137"/>
      <c r="D9" s="110">
        <f t="shared" si="0"/>
        <v>0</v>
      </c>
      <c r="E9" s="110">
        <f t="shared" si="1"/>
        <v>0</v>
      </c>
      <c r="F9" s="121">
        <v>5</v>
      </c>
      <c r="G9" s="112">
        <f t="shared" si="2"/>
        <v>0</v>
      </c>
      <c r="H9" s="112">
        <f t="shared" si="3"/>
        <v>0</v>
      </c>
      <c r="I9" s="113">
        <f t="shared" si="4"/>
        <v>0</v>
      </c>
    </row>
    <row r="10" spans="1:9" ht="15">
      <c r="A10" s="120" t="str">
        <f>"podložka"</f>
        <v>podložka</v>
      </c>
      <c r="B10" s="136"/>
      <c r="C10" s="137"/>
      <c r="D10" s="110">
        <f t="shared" si="0"/>
        <v>0</v>
      </c>
      <c r="E10" s="110">
        <f t="shared" si="1"/>
        <v>0</v>
      </c>
      <c r="F10" s="121">
        <v>167</v>
      </c>
      <c r="G10" s="112">
        <f t="shared" si="2"/>
        <v>0</v>
      </c>
      <c r="H10" s="112">
        <f t="shared" si="3"/>
        <v>0</v>
      </c>
      <c r="I10" s="113">
        <f t="shared" si="4"/>
        <v>0</v>
      </c>
    </row>
    <row r="11" spans="1:9" ht="15">
      <c r="A11" s="120" t="str">
        <f>"potah matrace"</f>
        <v>potah matrace</v>
      </c>
      <c r="B11" s="136"/>
      <c r="C11" s="137"/>
      <c r="D11" s="110">
        <f t="shared" si="0"/>
        <v>0</v>
      </c>
      <c r="E11" s="110">
        <f t="shared" si="1"/>
        <v>0</v>
      </c>
      <c r="F11" s="121">
        <v>29</v>
      </c>
      <c r="G11" s="112">
        <f t="shared" si="2"/>
        <v>0</v>
      </c>
      <c r="H11" s="112">
        <f t="shared" si="3"/>
        <v>0</v>
      </c>
      <c r="I11" s="113">
        <f t="shared" si="4"/>
        <v>0</v>
      </c>
    </row>
    <row r="12" spans="1:9" ht="15">
      <c r="A12" s="120" t="str">
        <f>"ubrus do 3 m2"</f>
        <v>ubrus do 3 m2</v>
      </c>
      <c r="B12" s="136"/>
      <c r="C12" s="137"/>
      <c r="D12" s="110">
        <f t="shared" si="0"/>
        <v>0</v>
      </c>
      <c r="E12" s="110">
        <f t="shared" si="1"/>
        <v>0</v>
      </c>
      <c r="F12" s="121">
        <v>13</v>
      </c>
      <c r="G12" s="112">
        <f t="shared" si="2"/>
        <v>0</v>
      </c>
      <c r="H12" s="112">
        <f t="shared" si="3"/>
        <v>0</v>
      </c>
      <c r="I12" s="113">
        <f t="shared" si="4"/>
        <v>0</v>
      </c>
    </row>
    <row r="13" spans="1:9" ht="15">
      <c r="A13" s="120" t="str">
        <f>"záclona 1m"</f>
        <v>záclona 1m</v>
      </c>
      <c r="B13" s="136"/>
      <c r="C13" s="137"/>
      <c r="D13" s="110">
        <f t="shared" si="0"/>
        <v>0</v>
      </c>
      <c r="E13" s="110">
        <f t="shared" si="1"/>
        <v>0</v>
      </c>
      <c r="F13" s="121">
        <v>30</v>
      </c>
      <c r="G13" s="112">
        <f t="shared" si="2"/>
        <v>0</v>
      </c>
      <c r="H13" s="112">
        <f t="shared" si="3"/>
        <v>0</v>
      </c>
      <c r="I13" s="113">
        <f t="shared" si="4"/>
        <v>0</v>
      </c>
    </row>
    <row r="14" spans="1:9" ht="15">
      <c r="A14" s="120" t="str">
        <f>"závěs 1 m praní"</f>
        <v>závěs 1 m praní</v>
      </c>
      <c r="B14" s="136"/>
      <c r="C14" s="137"/>
      <c r="D14" s="110">
        <f t="shared" si="0"/>
        <v>0</v>
      </c>
      <c r="E14" s="110">
        <f t="shared" si="1"/>
        <v>0</v>
      </c>
      <c r="F14" s="121">
        <v>215</v>
      </c>
      <c r="G14" s="112">
        <f t="shared" si="2"/>
        <v>0</v>
      </c>
      <c r="H14" s="112">
        <f t="shared" si="3"/>
        <v>0</v>
      </c>
      <c r="I14" s="113">
        <f t="shared" si="4"/>
        <v>0</v>
      </c>
    </row>
    <row r="15" spans="1:9" ht="15">
      <c r="A15" s="120" t="str">
        <f>"přikrývka (deka)"</f>
        <v>přikrývka (deka)</v>
      </c>
      <c r="B15" s="136"/>
      <c r="C15" s="137"/>
      <c r="D15" s="110">
        <f t="shared" si="0"/>
        <v>0</v>
      </c>
      <c r="E15" s="110">
        <f t="shared" si="1"/>
        <v>0</v>
      </c>
      <c r="F15" s="121">
        <v>539</v>
      </c>
      <c r="G15" s="112">
        <f t="shared" si="2"/>
        <v>0</v>
      </c>
      <c r="H15" s="112">
        <f t="shared" si="3"/>
        <v>0</v>
      </c>
      <c r="I15" s="113">
        <f t="shared" si="4"/>
        <v>0</v>
      </c>
    </row>
    <row r="16" spans="1:9" ht="15">
      <c r="A16" s="120" t="str">
        <f>"ubrousek, dečka"</f>
        <v>ubrousek, dečka</v>
      </c>
      <c r="B16" s="136"/>
      <c r="C16" s="137"/>
      <c r="D16" s="110">
        <f t="shared" si="0"/>
        <v>0</v>
      </c>
      <c r="E16" s="110">
        <f t="shared" si="1"/>
        <v>0</v>
      </c>
      <c r="F16" s="121">
        <v>15</v>
      </c>
      <c r="G16" s="112">
        <f t="shared" si="2"/>
        <v>0</v>
      </c>
      <c r="H16" s="112">
        <f t="shared" si="3"/>
        <v>0</v>
      </c>
      <c r="I16" s="113">
        <f t="shared" si="4"/>
        <v>0</v>
      </c>
    </row>
    <row r="17" spans="1:9" ht="15">
      <c r="A17" s="120" t="str">
        <f>"šátek, příručník, operační pásy"</f>
        <v>šátek, příručník, operační pásy</v>
      </c>
      <c r="B17" s="136"/>
      <c r="C17" s="137"/>
      <c r="D17" s="110">
        <f t="shared" si="0"/>
        <v>0</v>
      </c>
      <c r="E17" s="110">
        <f t="shared" si="1"/>
        <v>0</v>
      </c>
      <c r="F17" s="121">
        <v>25</v>
      </c>
      <c r="G17" s="112">
        <f t="shared" si="2"/>
        <v>0</v>
      </c>
      <c r="H17" s="112">
        <f t="shared" si="3"/>
        <v>0</v>
      </c>
      <c r="I17" s="113">
        <f t="shared" si="4"/>
        <v>0</v>
      </c>
    </row>
    <row r="18" spans="1:9" ht="15">
      <c r="A18" s="120" t="str">
        <f>"plena"</f>
        <v>plena</v>
      </c>
      <c r="B18" s="136"/>
      <c r="C18" s="137"/>
      <c r="D18" s="110">
        <f t="shared" si="0"/>
        <v>0</v>
      </c>
      <c r="E18" s="110">
        <f t="shared" si="1"/>
        <v>0</v>
      </c>
      <c r="F18" s="121">
        <v>2</v>
      </c>
      <c r="G18" s="112">
        <f t="shared" si="2"/>
        <v>0</v>
      </c>
      <c r="H18" s="112">
        <f t="shared" si="3"/>
        <v>0</v>
      </c>
      <c r="I18" s="113">
        <f t="shared" si="4"/>
        <v>0</v>
      </c>
    </row>
    <row r="19" spans="1:9" ht="15">
      <c r="A19" s="120" t="str">
        <f>"utěrka"</f>
        <v>utěrka</v>
      </c>
      <c r="B19" s="136"/>
      <c r="C19" s="137"/>
      <c r="D19" s="110">
        <f t="shared" si="0"/>
        <v>0</v>
      </c>
      <c r="E19" s="110">
        <f t="shared" si="1"/>
        <v>0</v>
      </c>
      <c r="F19" s="121">
        <v>275</v>
      </c>
      <c r="G19" s="112">
        <f t="shared" si="2"/>
        <v>0</v>
      </c>
      <c r="H19" s="112">
        <f t="shared" si="3"/>
        <v>0</v>
      </c>
      <c r="I19" s="113">
        <f t="shared" si="4"/>
        <v>0</v>
      </c>
    </row>
    <row r="20" spans="1:9" ht="15">
      <c r="A20" s="120" t="str">
        <f>"ručník froté"</f>
        <v>ručník froté</v>
      </c>
      <c r="B20" s="136"/>
      <c r="C20" s="137"/>
      <c r="D20" s="110">
        <f t="shared" si="0"/>
        <v>0</v>
      </c>
      <c r="E20" s="110">
        <f t="shared" si="1"/>
        <v>0</v>
      </c>
      <c r="F20" s="121">
        <v>60</v>
      </c>
      <c r="G20" s="112">
        <f t="shared" si="2"/>
        <v>0</v>
      </c>
      <c r="H20" s="112">
        <f t="shared" si="3"/>
        <v>0</v>
      </c>
      <c r="I20" s="113">
        <f t="shared" si="4"/>
        <v>0</v>
      </c>
    </row>
    <row r="21" spans="1:9" ht="15">
      <c r="A21" s="120" t="str">
        <f>"ručník"</f>
        <v>ručník</v>
      </c>
      <c r="B21" s="136"/>
      <c r="C21" s="137"/>
      <c r="D21" s="110">
        <f t="shared" si="0"/>
        <v>0</v>
      </c>
      <c r="E21" s="110">
        <f t="shared" si="1"/>
        <v>0</v>
      </c>
      <c r="F21" s="121">
        <v>857</v>
      </c>
      <c r="G21" s="112">
        <f t="shared" si="2"/>
        <v>0</v>
      </c>
      <c r="H21" s="112">
        <f t="shared" si="3"/>
        <v>0</v>
      </c>
      <c r="I21" s="113">
        <f t="shared" si="4"/>
        <v>0</v>
      </c>
    </row>
    <row r="22" spans="1:9" ht="15">
      <c r="A22" s="120" t="str">
        <f>"předložka froté"</f>
        <v>předložka froté</v>
      </c>
      <c r="B22" s="136"/>
      <c r="C22" s="137"/>
      <c r="D22" s="110">
        <f t="shared" si="0"/>
        <v>0</v>
      </c>
      <c r="E22" s="110">
        <f t="shared" si="1"/>
        <v>0</v>
      </c>
      <c r="F22" s="121">
        <v>5</v>
      </c>
      <c r="G22" s="112">
        <f t="shared" si="2"/>
        <v>0</v>
      </c>
      <c r="H22" s="112">
        <f t="shared" si="3"/>
        <v>0</v>
      </c>
      <c r="I22" s="113">
        <f t="shared" si="4"/>
        <v>0</v>
      </c>
    </row>
    <row r="23" spans="1:9" ht="15">
      <c r="A23" s="120" t="str">
        <f>"rouška malá i perf."</f>
        <v>rouška malá i perf.</v>
      </c>
      <c r="B23" s="136"/>
      <c r="C23" s="137"/>
      <c r="D23" s="110">
        <f t="shared" si="0"/>
        <v>0</v>
      </c>
      <c r="E23" s="110">
        <f t="shared" si="1"/>
        <v>0</v>
      </c>
      <c r="F23" s="121">
        <v>1</v>
      </c>
      <c r="G23" s="112">
        <f t="shared" si="2"/>
        <v>0</v>
      </c>
      <c r="H23" s="112">
        <f t="shared" si="3"/>
        <v>0</v>
      </c>
      <c r="I23" s="113">
        <f t="shared" si="4"/>
        <v>0</v>
      </c>
    </row>
    <row r="24" spans="1:9" ht="15">
      <c r="A24" s="120" t="str">
        <f>"rouška velká i perf."</f>
        <v>rouška velká i perf.</v>
      </c>
      <c r="B24" s="136"/>
      <c r="C24" s="137"/>
      <c r="D24" s="110">
        <f t="shared" si="0"/>
        <v>0</v>
      </c>
      <c r="E24" s="110">
        <f t="shared" si="1"/>
        <v>0</v>
      </c>
      <c r="F24" s="121">
        <v>1</v>
      </c>
      <c r="G24" s="112">
        <f t="shared" si="2"/>
        <v>0</v>
      </c>
      <c r="H24" s="112">
        <f t="shared" si="3"/>
        <v>0</v>
      </c>
      <c r="I24" s="113">
        <f t="shared" si="4"/>
        <v>0</v>
      </c>
    </row>
    <row r="25" spans="1:9" ht="15">
      <c r="A25" s="120" t="str">
        <f>"rouška břišní"</f>
        <v>rouška břišní</v>
      </c>
      <c r="B25" s="136"/>
      <c r="C25" s="137"/>
      <c r="D25" s="110">
        <f t="shared" si="0"/>
        <v>0</v>
      </c>
      <c r="E25" s="110">
        <f t="shared" si="1"/>
        <v>0</v>
      </c>
      <c r="F25" s="121">
        <v>5</v>
      </c>
      <c r="G25" s="112">
        <f t="shared" si="2"/>
        <v>0</v>
      </c>
      <c r="H25" s="112">
        <f t="shared" si="3"/>
        <v>0</v>
      </c>
      <c r="I25" s="113">
        <f t="shared" si="4"/>
        <v>0</v>
      </c>
    </row>
    <row r="26" spans="1:9" ht="15">
      <c r="A26" s="120" t="str">
        <f>"halena, vesta"</f>
        <v>halena, vesta</v>
      </c>
      <c r="B26" s="136"/>
      <c r="C26" s="137"/>
      <c r="D26" s="110">
        <f t="shared" si="0"/>
        <v>0</v>
      </c>
      <c r="E26" s="110">
        <f t="shared" si="1"/>
        <v>0</v>
      </c>
      <c r="F26" s="121">
        <v>2765</v>
      </c>
      <c r="G26" s="112">
        <f t="shared" si="2"/>
        <v>0</v>
      </c>
      <c r="H26" s="112">
        <f t="shared" si="3"/>
        <v>0</v>
      </c>
      <c r="I26" s="113">
        <f t="shared" si="4"/>
        <v>0</v>
      </c>
    </row>
    <row r="27" spans="1:9" ht="15">
      <c r="A27" s="120" t="str">
        <f>"kalhoty operační"</f>
        <v>kalhoty operační</v>
      </c>
      <c r="B27" s="136"/>
      <c r="C27" s="137"/>
      <c r="D27" s="110">
        <f t="shared" si="0"/>
        <v>0</v>
      </c>
      <c r="E27" s="110">
        <f t="shared" si="1"/>
        <v>0</v>
      </c>
      <c r="F27" s="121">
        <v>5</v>
      </c>
      <c r="G27" s="112">
        <f t="shared" si="2"/>
        <v>0</v>
      </c>
      <c r="H27" s="112">
        <f t="shared" si="3"/>
        <v>0</v>
      </c>
      <c r="I27" s="113">
        <f t="shared" si="4"/>
        <v>0</v>
      </c>
    </row>
    <row r="28" spans="1:9" ht="15">
      <c r="A28" s="120" t="str">
        <f>"plášť operační mikrovlákno"</f>
        <v>plášť operační mikrovlákno</v>
      </c>
      <c r="B28" s="136"/>
      <c r="C28" s="137"/>
      <c r="D28" s="110">
        <f t="shared" si="0"/>
        <v>0</v>
      </c>
      <c r="E28" s="110">
        <f t="shared" si="1"/>
        <v>0</v>
      </c>
      <c r="F28" s="121">
        <v>5</v>
      </c>
      <c r="G28" s="112">
        <f t="shared" si="2"/>
        <v>0</v>
      </c>
      <c r="H28" s="112">
        <f t="shared" si="3"/>
        <v>0</v>
      </c>
      <c r="I28" s="113">
        <f t="shared" si="4"/>
        <v>0</v>
      </c>
    </row>
    <row r="29" spans="1:9" ht="15">
      <c r="A29" s="120" t="str">
        <f>"košile noční, anděl"</f>
        <v>košile noční, anděl</v>
      </c>
      <c r="B29" s="136"/>
      <c r="C29" s="137"/>
      <c r="D29" s="110">
        <f t="shared" si="0"/>
        <v>0</v>
      </c>
      <c r="E29" s="110">
        <f t="shared" si="1"/>
        <v>0</v>
      </c>
      <c r="F29" s="121">
        <v>16</v>
      </c>
      <c r="G29" s="112">
        <f t="shared" si="2"/>
        <v>0</v>
      </c>
      <c r="H29" s="112">
        <f t="shared" si="3"/>
        <v>0</v>
      </c>
      <c r="I29" s="113">
        <f t="shared" si="4"/>
        <v>0</v>
      </c>
    </row>
    <row r="30" spans="1:9" ht="15">
      <c r="A30" s="120" t="str">
        <f>"župan"</f>
        <v>župan</v>
      </c>
      <c r="B30" s="136"/>
      <c r="C30" s="137"/>
      <c r="D30" s="110">
        <f t="shared" si="0"/>
        <v>0</v>
      </c>
      <c r="E30" s="110">
        <f t="shared" si="1"/>
        <v>0</v>
      </c>
      <c r="F30" s="121">
        <v>1</v>
      </c>
      <c r="G30" s="112">
        <f t="shared" si="2"/>
        <v>0</v>
      </c>
      <c r="H30" s="112">
        <f t="shared" si="3"/>
        <v>0</v>
      </c>
      <c r="I30" s="113">
        <f t="shared" si="4"/>
        <v>0</v>
      </c>
    </row>
    <row r="31" spans="1:9" ht="15">
      <c r="A31" s="120" t="str">
        <f>"župan dětský"</f>
        <v>župan dětský</v>
      </c>
      <c r="B31" s="136"/>
      <c r="C31" s="137"/>
      <c r="D31" s="110">
        <f t="shared" si="0"/>
        <v>0</v>
      </c>
      <c r="E31" s="110">
        <f t="shared" si="1"/>
        <v>0</v>
      </c>
      <c r="F31" s="121">
        <v>2</v>
      </c>
      <c r="G31" s="112">
        <f t="shared" si="2"/>
        <v>0</v>
      </c>
      <c r="H31" s="112">
        <f t="shared" si="3"/>
        <v>0</v>
      </c>
      <c r="I31" s="113">
        <f t="shared" si="4"/>
        <v>0</v>
      </c>
    </row>
    <row r="32" spans="1:9" ht="15">
      <c r="A32" s="120" t="str">
        <f>"dětské prádlo - dupačky, punčocháče, kalhotky, ost"</f>
        <v>dětské prádlo - dupačky, punčocháče, kalhotky, ost</v>
      </c>
      <c r="B32" s="136"/>
      <c r="C32" s="137"/>
      <c r="D32" s="110">
        <f t="shared" si="0"/>
        <v>0</v>
      </c>
      <c r="E32" s="110">
        <f t="shared" si="1"/>
        <v>0</v>
      </c>
      <c r="F32" s="121">
        <v>67</v>
      </c>
      <c r="G32" s="112">
        <f t="shared" si="2"/>
        <v>0</v>
      </c>
      <c r="H32" s="112">
        <f t="shared" si="3"/>
        <v>0</v>
      </c>
      <c r="I32" s="113">
        <f t="shared" si="4"/>
        <v>0</v>
      </c>
    </row>
    <row r="33" spans="1:9" ht="15">
      <c r="A33" s="120" t="str">
        <f>"drobné do 25x25, bryndák, návleky, tonometr, ústenka"</f>
        <v>drobné do 25x25, bryndák, návleky, tonometr, ústenka</v>
      </c>
      <c r="B33" s="136"/>
      <c r="C33" s="137"/>
      <c r="D33" s="110">
        <f t="shared" si="0"/>
        <v>0</v>
      </c>
      <c r="E33" s="110">
        <f t="shared" si="1"/>
        <v>0</v>
      </c>
      <c r="F33" s="121">
        <v>715</v>
      </c>
      <c r="G33" s="112">
        <f t="shared" si="2"/>
        <v>0</v>
      </c>
      <c r="H33" s="112">
        <f t="shared" si="3"/>
        <v>0</v>
      </c>
      <c r="I33" s="113">
        <f t="shared" si="4"/>
        <v>0</v>
      </c>
    </row>
    <row r="34" spans="1:9" ht="15">
      <c r="A34" s="120" t="str">
        <f>"žínky, obvazy přerov"</f>
        <v>žínky, obvazy přerov</v>
      </c>
      <c r="B34" s="136"/>
      <c r="C34" s="137"/>
      <c r="D34" s="110">
        <f t="shared" si="0"/>
        <v>0</v>
      </c>
      <c r="E34" s="110">
        <f t="shared" si="1"/>
        <v>0</v>
      </c>
      <c r="F34" s="121">
        <v>10</v>
      </c>
      <c r="G34" s="112">
        <f t="shared" si="2"/>
        <v>0</v>
      </c>
      <c r="H34" s="112">
        <f t="shared" si="3"/>
        <v>0</v>
      </c>
      <c r="I34" s="113">
        <f t="shared" si="4"/>
        <v>0</v>
      </c>
    </row>
    <row r="35" spans="1:9" ht="15">
      <c r="A35" s="120" t="str">
        <f>"spodní prádlo - slipy, trenýrky, štulpny 1 pár"</f>
        <v>spodní prádlo - slipy, trenýrky, štulpny 1 pár</v>
      </c>
      <c r="B35" s="136"/>
      <c r="C35" s="137"/>
      <c r="D35" s="110">
        <f t="shared" si="0"/>
        <v>0</v>
      </c>
      <c r="E35" s="110">
        <f t="shared" si="1"/>
        <v>0</v>
      </c>
      <c r="F35" s="121">
        <v>7</v>
      </c>
      <c r="G35" s="112">
        <f t="shared" si="2"/>
        <v>0</v>
      </c>
      <c r="H35" s="112">
        <f t="shared" si="3"/>
        <v>0</v>
      </c>
      <c r="I35" s="113">
        <f t="shared" si="4"/>
        <v>0</v>
      </c>
    </row>
    <row r="36" spans="1:9" ht="15">
      <c r="A36" s="120" t="str">
        <f>"čepice"</f>
        <v>čepice</v>
      </c>
      <c r="B36" s="136"/>
      <c r="C36" s="137"/>
      <c r="D36" s="110">
        <f t="shared" si="0"/>
        <v>0</v>
      </c>
      <c r="E36" s="110">
        <f t="shared" si="1"/>
        <v>0</v>
      </c>
      <c r="F36" s="121">
        <v>89</v>
      </c>
      <c r="G36" s="112">
        <f t="shared" si="2"/>
        <v>0</v>
      </c>
      <c r="H36" s="112">
        <f t="shared" si="3"/>
        <v>0</v>
      </c>
      <c r="I36" s="113">
        <f t="shared" si="4"/>
        <v>0</v>
      </c>
    </row>
    <row r="37" spans="1:9" ht="15">
      <c r="A37" s="120" t="str">
        <f>"dekuba"</f>
        <v>dekuba</v>
      </c>
      <c r="B37" s="136"/>
      <c r="C37" s="137"/>
      <c r="D37" s="110">
        <f t="shared" si="0"/>
        <v>0</v>
      </c>
      <c r="E37" s="110">
        <f t="shared" si="1"/>
        <v>0</v>
      </c>
      <c r="F37" s="121">
        <v>18</v>
      </c>
      <c r="G37" s="112">
        <f t="shared" si="2"/>
        <v>0</v>
      </c>
      <c r="H37" s="112">
        <f t="shared" si="3"/>
        <v>0</v>
      </c>
      <c r="I37" s="113">
        <f t="shared" si="4"/>
        <v>0</v>
      </c>
    </row>
    <row r="38" spans="1:9" ht="15">
      <c r="A38" s="120" t="str">
        <f>"obinadla pytel, obal na léhátko"</f>
        <v>obinadla pytel, obal na léhátko</v>
      </c>
      <c r="B38" s="136"/>
      <c r="C38" s="137"/>
      <c r="D38" s="110">
        <f t="shared" si="0"/>
        <v>0</v>
      </c>
      <c r="E38" s="110">
        <f t="shared" si="1"/>
        <v>0</v>
      </c>
      <c r="F38" s="121">
        <v>1</v>
      </c>
      <c r="G38" s="112">
        <f t="shared" si="2"/>
        <v>0</v>
      </c>
      <c r="H38" s="112">
        <f t="shared" si="3"/>
        <v>0</v>
      </c>
      <c r="I38" s="113">
        <f t="shared" si="4"/>
        <v>0</v>
      </c>
    </row>
    <row r="39" spans="1:9" ht="15">
      <c r="A39" s="120" t="str">
        <f>"košile (halenka, polokošile)"</f>
        <v>košile (halenka, polokošile)</v>
      </c>
      <c r="B39" s="136"/>
      <c r="C39" s="137"/>
      <c r="D39" s="110">
        <f t="shared" si="0"/>
        <v>0</v>
      </c>
      <c r="E39" s="110">
        <f t="shared" si="1"/>
        <v>0</v>
      </c>
      <c r="F39" s="121">
        <v>667</v>
      </c>
      <c r="G39" s="112">
        <f t="shared" si="2"/>
        <v>0</v>
      </c>
      <c r="H39" s="112">
        <f t="shared" si="3"/>
        <v>0</v>
      </c>
      <c r="I39" s="113">
        <f t="shared" si="4"/>
        <v>0</v>
      </c>
    </row>
    <row r="40" spans="1:9" ht="15">
      <c r="A40" s="120" t="str">
        <f>"rondon"</f>
        <v>rondon</v>
      </c>
      <c r="B40" s="136"/>
      <c r="C40" s="137"/>
      <c r="D40" s="110">
        <f t="shared" si="0"/>
        <v>0</v>
      </c>
      <c r="E40" s="110">
        <f t="shared" si="1"/>
        <v>0</v>
      </c>
      <c r="F40" s="121">
        <v>38</v>
      </c>
      <c r="G40" s="112">
        <f t="shared" si="2"/>
        <v>0</v>
      </c>
      <c r="H40" s="112">
        <f t="shared" si="3"/>
        <v>0</v>
      </c>
      <c r="I40" s="113">
        <f t="shared" si="4"/>
        <v>0</v>
      </c>
    </row>
    <row r="41" spans="1:9" ht="15">
      <c r="A41" s="120" t="str">
        <f>"blůza montérková"</f>
        <v>blůza montérková</v>
      </c>
      <c r="B41" s="136"/>
      <c r="C41" s="137"/>
      <c r="D41" s="110">
        <f t="shared" si="0"/>
        <v>0</v>
      </c>
      <c r="E41" s="110">
        <f t="shared" si="1"/>
        <v>0</v>
      </c>
      <c r="F41" s="121">
        <v>44</v>
      </c>
      <c r="G41" s="112">
        <f t="shared" si="2"/>
        <v>0</v>
      </c>
      <c r="H41" s="112">
        <f t="shared" si="3"/>
        <v>0</v>
      </c>
      <c r="I41" s="113">
        <f t="shared" si="4"/>
        <v>0</v>
      </c>
    </row>
    <row r="42" spans="1:9" ht="15">
      <c r="A42" s="120" t="str">
        <f>"kalhoty pracovní, lékařské, kalhoty 3/4"</f>
        <v>kalhoty pracovní, lékařské, kalhoty 3/4</v>
      </c>
      <c r="B42" s="136"/>
      <c r="C42" s="137"/>
      <c r="D42" s="110">
        <f t="shared" si="0"/>
        <v>0</v>
      </c>
      <c r="E42" s="110">
        <f t="shared" si="1"/>
        <v>0</v>
      </c>
      <c r="F42" s="121">
        <v>2553</v>
      </c>
      <c r="G42" s="112">
        <f t="shared" si="2"/>
        <v>0</v>
      </c>
      <c r="H42" s="112">
        <f t="shared" si="3"/>
        <v>0</v>
      </c>
      <c r="I42" s="113">
        <f t="shared" si="4"/>
        <v>0</v>
      </c>
    </row>
    <row r="43" spans="1:9" ht="15">
      <c r="A43" s="120" t="str">
        <f>"plášť pracovní, lékařský"</f>
        <v>plášť pracovní, lékařský</v>
      </c>
      <c r="B43" s="136"/>
      <c r="C43" s="137"/>
      <c r="D43" s="110">
        <f t="shared" si="0"/>
        <v>0</v>
      </c>
      <c r="E43" s="110">
        <f t="shared" si="1"/>
        <v>0</v>
      </c>
      <c r="F43" s="121">
        <v>482</v>
      </c>
      <c r="G43" s="112">
        <f t="shared" si="2"/>
        <v>0</v>
      </c>
      <c r="H43" s="112">
        <f t="shared" si="3"/>
        <v>0</v>
      </c>
      <c r="I43" s="113">
        <f t="shared" si="4"/>
        <v>0</v>
      </c>
    </row>
    <row r="44" spans="1:9" ht="15">
      <c r="A44" s="120" t="str">
        <f>"šaty kuchařské, bolerko, zástěra pracovní a šatová"</f>
        <v>šaty kuchařské, bolerko, zástěra pracovní a šatová</v>
      </c>
      <c r="B44" s="136"/>
      <c r="C44" s="137"/>
      <c r="D44" s="110">
        <f t="shared" si="0"/>
        <v>0</v>
      </c>
      <c r="E44" s="110">
        <f t="shared" si="1"/>
        <v>0</v>
      </c>
      <c r="F44" s="121">
        <v>10</v>
      </c>
      <c r="G44" s="112">
        <f t="shared" si="2"/>
        <v>0</v>
      </c>
      <c r="H44" s="112">
        <f t="shared" si="3"/>
        <v>0</v>
      </c>
      <c r="I44" s="113">
        <f t="shared" si="4"/>
        <v>0</v>
      </c>
    </row>
    <row r="45" spans="1:9" ht="15">
      <c r="A45" s="120" t="str">
        <f>"šaty sesterské"</f>
        <v>šaty sesterské</v>
      </c>
      <c r="B45" s="136"/>
      <c r="C45" s="137"/>
      <c r="D45" s="110">
        <f t="shared" si="0"/>
        <v>0</v>
      </c>
      <c r="E45" s="110">
        <f t="shared" si="1"/>
        <v>0</v>
      </c>
      <c r="F45" s="121">
        <v>64</v>
      </c>
      <c r="G45" s="112">
        <f t="shared" si="2"/>
        <v>0</v>
      </c>
      <c r="H45" s="112">
        <f t="shared" si="3"/>
        <v>0</v>
      </c>
      <c r="I45" s="113">
        <f t="shared" si="4"/>
        <v>0</v>
      </c>
    </row>
    <row r="46" spans="1:9" ht="15">
      <c r="A46" s="120" t="str">
        <f>"zástěra řeznická, cukrářská, do pasu"</f>
        <v>zástěra řeznická, cukrářská, do pasu</v>
      </c>
      <c r="B46" s="136"/>
      <c r="C46" s="137"/>
      <c r="D46" s="110">
        <f t="shared" si="0"/>
        <v>0</v>
      </c>
      <c r="E46" s="110">
        <f t="shared" si="1"/>
        <v>0</v>
      </c>
      <c r="F46" s="121">
        <v>10</v>
      </c>
      <c r="G46" s="112">
        <f t="shared" si="2"/>
        <v>0</v>
      </c>
      <c r="H46" s="112">
        <f t="shared" si="3"/>
        <v>0</v>
      </c>
      <c r="I46" s="113">
        <f t="shared" si="4"/>
        <v>0</v>
      </c>
    </row>
    <row r="47" spans="1:9" ht="15">
      <c r="A47" s="120" t="str">
        <f>"zástěra šatová, sesterská, sukně"</f>
        <v>zástěra šatová, sesterská, sukně</v>
      </c>
      <c r="B47" s="136"/>
      <c r="C47" s="137"/>
      <c r="D47" s="110">
        <f t="shared" si="0"/>
        <v>0</v>
      </c>
      <c r="E47" s="110">
        <f t="shared" si="1"/>
        <v>0</v>
      </c>
      <c r="F47" s="121">
        <v>1</v>
      </c>
      <c r="G47" s="112">
        <f t="shared" si="2"/>
        <v>0</v>
      </c>
      <c r="H47" s="112">
        <f t="shared" si="3"/>
        <v>0</v>
      </c>
      <c r="I47" s="113">
        <f t="shared" si="4"/>
        <v>0</v>
      </c>
    </row>
    <row r="48" spans="1:9" ht="15">
      <c r="A48" s="120" t="str">
        <f>"triko, nátělník"</f>
        <v>triko, nátělník</v>
      </c>
      <c r="B48" s="136"/>
      <c r="C48" s="137"/>
      <c r="D48" s="110">
        <f t="shared" si="0"/>
        <v>0</v>
      </c>
      <c r="E48" s="110">
        <f t="shared" si="1"/>
        <v>0</v>
      </c>
      <c r="F48" s="121">
        <v>612</v>
      </c>
      <c r="G48" s="112">
        <f t="shared" si="2"/>
        <v>0</v>
      </c>
      <c r="H48" s="112">
        <f t="shared" si="3"/>
        <v>0</v>
      </c>
      <c r="I48" s="113">
        <f t="shared" si="4"/>
        <v>0</v>
      </c>
    </row>
    <row r="49" spans="1:9" ht="15">
      <c r="A49" s="120" t="str">
        <f>"sportovní dres (dětská tepl.souprava)"</f>
        <v>sportovní dres (dětská tepl.souprava)</v>
      </c>
      <c r="B49" s="136"/>
      <c r="C49" s="137"/>
      <c r="D49" s="110">
        <f t="shared" si="0"/>
        <v>0</v>
      </c>
      <c r="E49" s="110">
        <f t="shared" si="1"/>
        <v>0</v>
      </c>
      <c r="F49" s="121">
        <v>5</v>
      </c>
      <c r="G49" s="112">
        <f t="shared" si="2"/>
        <v>0</v>
      </c>
      <c r="H49" s="112">
        <f t="shared" si="3"/>
        <v>0</v>
      </c>
      <c r="I49" s="113">
        <f t="shared" si="4"/>
        <v>0</v>
      </c>
    </row>
    <row r="50" spans="1:9" ht="15">
      <c r="A50" s="120" t="str">
        <f>"sportovní oblečení - mikina, tepláky, teplák.bunda"</f>
        <v>sportovní oblečení - mikina, tepláky, teplák.bunda</v>
      </c>
      <c r="B50" s="136"/>
      <c r="C50" s="137"/>
      <c r="D50" s="110">
        <f t="shared" si="0"/>
        <v>0</v>
      </c>
      <c r="E50" s="110">
        <f t="shared" si="1"/>
        <v>0</v>
      </c>
      <c r="F50" s="121">
        <v>113</v>
      </c>
      <c r="G50" s="112">
        <f t="shared" si="2"/>
        <v>0</v>
      </c>
      <c r="H50" s="112">
        <f t="shared" si="3"/>
        <v>0</v>
      </c>
      <c r="I50" s="113">
        <f t="shared" si="4"/>
        <v>0</v>
      </c>
    </row>
    <row r="51" spans="1:9" ht="15">
      <c r="A51" s="120" t="str">
        <f>"praní mopů za 1 kg"</f>
        <v>praní mopů za 1 kg</v>
      </c>
      <c r="B51" s="136"/>
      <c r="C51" s="137"/>
      <c r="D51" s="110">
        <f t="shared" si="0"/>
        <v>0</v>
      </c>
      <c r="E51" s="110">
        <f t="shared" si="1"/>
        <v>0</v>
      </c>
      <c r="F51" s="121">
        <v>16317</v>
      </c>
      <c r="G51" s="112">
        <f t="shared" si="2"/>
        <v>0</v>
      </c>
      <c r="H51" s="112">
        <f t="shared" si="3"/>
        <v>0</v>
      </c>
      <c r="I51" s="113">
        <f t="shared" si="4"/>
        <v>0</v>
      </c>
    </row>
    <row r="52" spans="1:9" ht="15">
      <c r="A52" s="120" t="str">
        <f>"pytel malý"</f>
        <v>pytel malý</v>
      </c>
      <c r="B52" s="136"/>
      <c r="C52" s="137"/>
      <c r="D52" s="110">
        <f t="shared" si="0"/>
        <v>0</v>
      </c>
      <c r="E52" s="110">
        <f t="shared" si="1"/>
        <v>0</v>
      </c>
      <c r="F52" s="121">
        <v>50</v>
      </c>
      <c r="G52" s="112">
        <f t="shared" si="2"/>
        <v>0</v>
      </c>
      <c r="H52" s="112">
        <f t="shared" si="3"/>
        <v>0</v>
      </c>
      <c r="I52" s="113">
        <f t="shared" si="4"/>
        <v>0</v>
      </c>
    </row>
    <row r="53" spans="1:9" ht="15">
      <c r="A53" s="120" t="str">
        <f>"pytel velký"</f>
        <v>pytel velký</v>
      </c>
      <c r="B53" s="136"/>
      <c r="C53" s="137"/>
      <c r="D53" s="110">
        <f t="shared" si="0"/>
        <v>0</v>
      </c>
      <c r="E53" s="110">
        <f t="shared" si="1"/>
        <v>0</v>
      </c>
      <c r="F53" s="121">
        <v>5</v>
      </c>
      <c r="G53" s="112">
        <f t="shared" si="2"/>
        <v>0</v>
      </c>
      <c r="H53" s="112">
        <f t="shared" si="3"/>
        <v>0</v>
      </c>
      <c r="I53" s="113">
        <f t="shared" si="4"/>
        <v>0</v>
      </c>
    </row>
    <row r="54" spans="1:9" ht="15">
      <c r="A54" s="120" t="str">
        <f>"oprava prádla za 1 hodinu práce"</f>
        <v>oprava prádla za 1 hodinu práce</v>
      </c>
      <c r="B54" s="136"/>
      <c r="C54" s="137"/>
      <c r="D54" s="110">
        <f t="shared" si="0"/>
        <v>0</v>
      </c>
      <c r="E54" s="110">
        <f t="shared" si="1"/>
        <v>0</v>
      </c>
      <c r="F54" s="121">
        <v>2</v>
      </c>
      <c r="G54" s="112">
        <f t="shared" si="2"/>
        <v>0</v>
      </c>
      <c r="H54" s="112">
        <f t="shared" si="3"/>
        <v>0</v>
      </c>
      <c r="I54" s="113">
        <f t="shared" si="4"/>
        <v>0</v>
      </c>
    </row>
    <row r="55" spans="1:9" ht="15">
      <c r="A55" s="120" t="str">
        <f>"balení"</f>
        <v>balení</v>
      </c>
      <c r="B55" s="136"/>
      <c r="C55" s="137"/>
      <c r="D55" s="110">
        <f t="shared" si="0"/>
        <v>0</v>
      </c>
      <c r="E55" s="110">
        <f t="shared" si="1"/>
        <v>0</v>
      </c>
      <c r="F55" s="121">
        <v>1634</v>
      </c>
      <c r="G55" s="112">
        <f t="shared" si="2"/>
        <v>0</v>
      </c>
      <c r="H55" s="112">
        <f t="shared" si="3"/>
        <v>0</v>
      </c>
      <c r="I55" s="113">
        <f t="shared" si="4"/>
        <v>0</v>
      </c>
    </row>
    <row r="56" spans="1:9" ht="15">
      <c r="A56" s="120" t="str">
        <f>"bunda bez podšívky, bunda do pasu"</f>
        <v>bunda bez podšívky, bunda do pasu</v>
      </c>
      <c r="B56" s="136"/>
      <c r="C56" s="137"/>
      <c r="D56" s="110">
        <f t="shared" si="0"/>
        <v>0</v>
      </c>
      <c r="E56" s="110">
        <f t="shared" si="1"/>
        <v>0</v>
      </c>
      <c r="F56" s="121">
        <v>1</v>
      </c>
      <c r="G56" s="112">
        <f t="shared" si="2"/>
        <v>0</v>
      </c>
      <c r="H56" s="112">
        <f t="shared" si="3"/>
        <v>0</v>
      </c>
      <c r="I56" s="113">
        <f t="shared" si="4"/>
        <v>0</v>
      </c>
    </row>
    <row r="57" spans="1:9" ht="15">
      <c r="A57" s="120" t="str">
        <f>"bunda pod pas, bunda s podšívkou"</f>
        <v>bunda pod pas, bunda s podšívkou</v>
      </c>
      <c r="B57" s="136"/>
      <c r="C57" s="137"/>
      <c r="D57" s="110">
        <f t="shared" si="0"/>
        <v>0</v>
      </c>
      <c r="E57" s="110">
        <f t="shared" si="1"/>
        <v>0</v>
      </c>
      <c r="F57" s="121">
        <v>3</v>
      </c>
      <c r="G57" s="112">
        <f t="shared" si="2"/>
        <v>0</v>
      </c>
      <c r="H57" s="112">
        <f t="shared" si="3"/>
        <v>0</v>
      </c>
      <c r="I57" s="113">
        <f t="shared" si="4"/>
        <v>0</v>
      </c>
    </row>
    <row r="58" spans="1:9" ht="15">
      <c r="A58" s="120" t="str">
        <f>"bunda péřová, vesta péřová"</f>
        <v>bunda péřová, vesta péřová</v>
      </c>
      <c r="B58" s="136"/>
      <c r="C58" s="137"/>
      <c r="D58" s="110">
        <f t="shared" si="0"/>
        <v>0</v>
      </c>
      <c r="E58" s="110">
        <f t="shared" si="1"/>
        <v>0</v>
      </c>
      <c r="F58" s="121">
        <v>5</v>
      </c>
      <c r="G58" s="112">
        <f t="shared" si="2"/>
        <v>0</v>
      </c>
      <c r="H58" s="112">
        <f t="shared" si="3"/>
        <v>0</v>
      </c>
      <c r="I58" s="113">
        <f t="shared" si="4"/>
        <v>0</v>
      </c>
    </row>
    <row r="59" spans="1:9" ht="15">
      <c r="A59" s="120" t="str">
        <f>"drobnosti (čepice,kapuce), kazajka svěrací, sedák"</f>
        <v>drobnosti (čepice,kapuce), kazajka svěrací, sedák</v>
      </c>
      <c r="B59" s="136"/>
      <c r="C59" s="137"/>
      <c r="D59" s="110">
        <f t="shared" si="0"/>
        <v>0</v>
      </c>
      <c r="E59" s="110">
        <f t="shared" si="1"/>
        <v>0</v>
      </c>
      <c r="F59" s="121">
        <v>5</v>
      </c>
      <c r="G59" s="112">
        <f t="shared" si="2"/>
        <v>0</v>
      </c>
      <c r="H59" s="112">
        <f t="shared" si="3"/>
        <v>0</v>
      </c>
      <c r="I59" s="113">
        <f t="shared" si="4"/>
        <v>0</v>
      </c>
    </row>
    <row r="60" spans="1:9" ht="15">
      <c r="A60" s="120" t="str">
        <f>"ortézy"</f>
        <v>ortézy</v>
      </c>
      <c r="B60" s="136"/>
      <c r="C60" s="137"/>
      <c r="D60" s="110">
        <f t="shared" si="0"/>
        <v>0</v>
      </c>
      <c r="E60" s="110">
        <f t="shared" si="1"/>
        <v>0</v>
      </c>
      <c r="F60" s="121">
        <v>8</v>
      </c>
      <c r="G60" s="112">
        <f t="shared" si="2"/>
        <v>0</v>
      </c>
      <c r="H60" s="112">
        <f t="shared" si="3"/>
        <v>0</v>
      </c>
      <c r="I60" s="113">
        <f t="shared" si="4"/>
        <v>0</v>
      </c>
    </row>
    <row r="61" spans="1:9" ht="15">
      <c r="A61" s="120" t="str">
        <f>"dekuba"</f>
        <v>dekuba</v>
      </c>
      <c r="B61" s="136"/>
      <c r="C61" s="137"/>
      <c r="D61" s="110">
        <f t="shared" si="0"/>
        <v>0</v>
      </c>
      <c r="E61" s="110">
        <f t="shared" si="1"/>
        <v>0</v>
      </c>
      <c r="F61" s="121">
        <v>246</v>
      </c>
      <c r="G61" s="112">
        <f t="shared" si="2"/>
        <v>0</v>
      </c>
      <c r="H61" s="112">
        <f t="shared" si="3"/>
        <v>0</v>
      </c>
      <c r="I61" s="113">
        <f t="shared" si="4"/>
        <v>0</v>
      </c>
    </row>
    <row r="62" spans="1:9" ht="15">
      <c r="A62" s="120" t="str">
        <f>"přikrývka(deka)"</f>
        <v>přikrývka(deka)</v>
      </c>
      <c r="B62" s="136"/>
      <c r="C62" s="137"/>
      <c r="D62" s="110">
        <f t="shared" si="0"/>
        <v>0</v>
      </c>
      <c r="E62" s="110">
        <f t="shared" si="1"/>
        <v>0</v>
      </c>
      <c r="F62" s="121">
        <v>1</v>
      </c>
      <c r="G62" s="112">
        <f t="shared" si="2"/>
        <v>0</v>
      </c>
      <c r="H62" s="112">
        <f t="shared" si="3"/>
        <v>0</v>
      </c>
      <c r="I62" s="113">
        <f t="shared" si="4"/>
        <v>0</v>
      </c>
    </row>
    <row r="63" spans="1:9" ht="15">
      <c r="A63" s="120" t="str">
        <f>"deka malá obyčejná"</f>
        <v>deka malá obyčejná</v>
      </c>
      <c r="B63" s="136"/>
      <c r="C63" s="137"/>
      <c r="D63" s="110">
        <f t="shared" si="0"/>
        <v>0</v>
      </c>
      <c r="E63" s="110">
        <f t="shared" si="1"/>
        <v>0</v>
      </c>
      <c r="F63" s="121">
        <v>4</v>
      </c>
      <c r="G63" s="112">
        <f t="shared" si="2"/>
        <v>0</v>
      </c>
      <c r="H63" s="112">
        <f t="shared" si="3"/>
        <v>0</v>
      </c>
      <c r="I63" s="113">
        <f t="shared" si="4"/>
        <v>0</v>
      </c>
    </row>
    <row r="64" spans="1:9" ht="15">
      <c r="A64" s="120" t="str">
        <f>"deka prošívaná malá"</f>
        <v>deka prošívaná malá</v>
      </c>
      <c r="B64" s="136"/>
      <c r="C64" s="137"/>
      <c r="D64" s="110">
        <f t="shared" si="0"/>
        <v>0</v>
      </c>
      <c r="E64" s="110">
        <f t="shared" si="1"/>
        <v>0</v>
      </c>
      <c r="F64" s="121">
        <v>2</v>
      </c>
      <c r="G64" s="112">
        <f t="shared" si="2"/>
        <v>0</v>
      </c>
      <c r="H64" s="112">
        <f t="shared" si="3"/>
        <v>0</v>
      </c>
      <c r="I64" s="113">
        <f t="shared" si="4"/>
        <v>0</v>
      </c>
    </row>
    <row r="65" spans="1:9" ht="15">
      <c r="A65" s="120" t="str">
        <f>"polštář malý prošívaný"</f>
        <v>polštář malý prošívaný</v>
      </c>
      <c r="B65" s="136"/>
      <c r="C65" s="137"/>
      <c r="D65" s="110">
        <f t="shared" si="0"/>
        <v>0</v>
      </c>
      <c r="E65" s="110">
        <f t="shared" si="1"/>
        <v>0</v>
      </c>
      <c r="F65" s="121">
        <v>27</v>
      </c>
      <c r="G65" s="112">
        <f t="shared" si="2"/>
        <v>0</v>
      </c>
      <c r="H65" s="112">
        <f t="shared" si="3"/>
        <v>0</v>
      </c>
      <c r="I65" s="113">
        <f t="shared" si="4"/>
        <v>0</v>
      </c>
    </row>
    <row r="66" spans="1:9" ht="15">
      <c r="A66" s="120" t="str">
        <f>"polštář velký prošívaný"</f>
        <v>polštář velký prošívaný</v>
      </c>
      <c r="B66" s="136"/>
      <c r="C66" s="137"/>
      <c r="D66" s="110">
        <f t="shared" si="0"/>
        <v>0</v>
      </c>
      <c r="E66" s="110">
        <f t="shared" si="1"/>
        <v>0</v>
      </c>
      <c r="F66" s="121">
        <v>727</v>
      </c>
      <c r="G66" s="112">
        <f t="shared" si="2"/>
        <v>0</v>
      </c>
      <c r="H66" s="112">
        <f t="shared" si="3"/>
        <v>0</v>
      </c>
      <c r="I66" s="113">
        <f t="shared" si="4"/>
        <v>0</v>
      </c>
    </row>
    <row r="67" spans="1:9" ht="15">
      <c r="A67" s="120" t="str">
        <f>"přikrývka prošívaná velká"</f>
        <v>přikrývka prošívaná velká</v>
      </c>
      <c r="B67" s="136"/>
      <c r="C67" s="137"/>
      <c r="D67" s="110">
        <f t="shared" si="0"/>
        <v>0</v>
      </c>
      <c r="E67" s="110">
        <f t="shared" si="1"/>
        <v>0</v>
      </c>
      <c r="F67" s="121">
        <v>620</v>
      </c>
      <c r="G67" s="112">
        <f t="shared" si="2"/>
        <v>0</v>
      </c>
      <c r="H67" s="112">
        <f t="shared" si="3"/>
        <v>0</v>
      </c>
      <c r="I67" s="113">
        <f t="shared" si="4"/>
        <v>0</v>
      </c>
    </row>
    <row r="68" spans="1:9" ht="15">
      <c r="A68" s="120" t="str">
        <f>"molitan malý, polštář malý"</f>
        <v>molitan malý, polštář malý</v>
      </c>
      <c r="B68" s="136"/>
      <c r="C68" s="137"/>
      <c r="D68" s="110">
        <f t="shared" si="0"/>
        <v>0</v>
      </c>
      <c r="E68" s="110">
        <f t="shared" si="1"/>
        <v>0</v>
      </c>
      <c r="F68" s="121">
        <v>29</v>
      </c>
      <c r="G68" s="112">
        <f t="shared" si="2"/>
        <v>0</v>
      </c>
      <c r="H68" s="112">
        <f t="shared" si="3"/>
        <v>0</v>
      </c>
      <c r="I68" s="113">
        <f t="shared" si="4"/>
        <v>0</v>
      </c>
    </row>
    <row r="69" spans="1:9" ht="15.75" thickBot="1">
      <c r="A69" s="34" t="str">
        <f>"péřový polštář"</f>
        <v>péřový polštář</v>
      </c>
      <c r="B69" s="90"/>
      <c r="C69" s="89"/>
      <c r="D69" s="20">
        <f aca="true" t="shared" si="5" ref="D69">C69*0.21</f>
        <v>0</v>
      </c>
      <c r="E69" s="20">
        <f aca="true" t="shared" si="6" ref="E69">ROUND(C69+D69,2)</f>
        <v>0</v>
      </c>
      <c r="F69" s="23">
        <v>576</v>
      </c>
      <c r="G69" s="21">
        <f aca="true" t="shared" si="7" ref="G69">C69*F69</f>
        <v>0</v>
      </c>
      <c r="H69" s="21">
        <f aca="true" t="shared" si="8" ref="H69">G69*0.21</f>
        <v>0</v>
      </c>
      <c r="I69" s="22">
        <f aca="true" t="shared" si="9" ref="I69">ROUND(G69+H69,2)</f>
        <v>0</v>
      </c>
    </row>
    <row r="70" spans="1:9" s="12" customFormat="1" ht="15.75" thickBot="1">
      <c r="A70" s="150" t="s">
        <v>26</v>
      </c>
      <c r="B70" s="151"/>
      <c r="C70" s="151"/>
      <c r="D70" s="151"/>
      <c r="E70" s="151"/>
      <c r="F70" s="152"/>
      <c r="G70" s="85">
        <f>SUM(G5:G69)</f>
        <v>0</v>
      </c>
      <c r="H70" s="85">
        <f aca="true" t="shared" si="10" ref="H70:I70">SUM(H5:H69)</f>
        <v>0</v>
      </c>
      <c r="I70" s="102">
        <f t="shared" si="10"/>
        <v>0</v>
      </c>
    </row>
    <row r="71" spans="1:9" s="2" customFormat="1" ht="15.75" thickBot="1">
      <c r="A71" s="153" t="s">
        <v>27</v>
      </c>
      <c r="B71" s="154"/>
      <c r="C71" s="154"/>
      <c r="D71" s="154"/>
      <c r="E71" s="154"/>
      <c r="F71" s="155"/>
      <c r="G71" s="10">
        <f>G70*4</f>
        <v>0</v>
      </c>
      <c r="H71" s="86">
        <f aca="true" t="shared" si="11" ref="H71:I71">H70*4</f>
        <v>0</v>
      </c>
      <c r="I71" s="87">
        <f t="shared" si="11"/>
        <v>0</v>
      </c>
    </row>
    <row r="73" ht="24.75" customHeight="1">
      <c r="A73" t="s">
        <v>13</v>
      </c>
    </row>
    <row r="74" ht="84" customHeight="1"/>
    <row r="75" ht="15">
      <c r="A75" t="s">
        <v>14</v>
      </c>
    </row>
    <row r="76" ht="15">
      <c r="A76" s="51" t="s">
        <v>43</v>
      </c>
    </row>
  </sheetData>
  <mergeCells count="3">
    <mergeCell ref="A2:I2"/>
    <mergeCell ref="A70:F70"/>
    <mergeCell ref="A71:F7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90" zoomScaleNormal="90" workbookViewId="0" topLeftCell="A1">
      <pane ySplit="4" topLeftCell="A36" activePane="bottomLeft" state="frozen"/>
      <selection pane="bottomLeft" activeCell="A55" sqref="A55:XFD55"/>
    </sheetView>
  </sheetViews>
  <sheetFormatPr defaultColWidth="8.8515625" defaultRowHeight="15"/>
  <cols>
    <col min="1" max="1" width="31.8515625" style="0" bestFit="1" customWidth="1"/>
    <col min="2" max="2" width="19.140625" style="0" bestFit="1" customWidth="1"/>
    <col min="3" max="3" width="19.140625" style="0" customWidth="1"/>
    <col min="4" max="4" width="11.421875" style="0" customWidth="1"/>
    <col min="5" max="5" width="10.00390625" style="0" customWidth="1"/>
    <col min="6" max="8" width="9.421875" style="0" customWidth="1"/>
    <col min="9" max="9" width="10.8515625" style="0" customWidth="1"/>
    <col min="10" max="11" width="10.28125" style="0" customWidth="1"/>
    <col min="12" max="12" width="10.140625" style="0" customWidth="1"/>
    <col min="13" max="13" width="8.421875" style="0" customWidth="1"/>
    <col min="14" max="14" width="11.421875" style="0" customWidth="1"/>
  </cols>
  <sheetData>
    <row r="1" ht="15.75">
      <c r="A1" s="101" t="s">
        <v>42</v>
      </c>
    </row>
    <row r="2" spans="1:14" ht="53.25" customHeight="1">
      <c r="A2" s="156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ht="20.25" customHeight="1" thickBot="1"/>
    <row r="4" spans="1:14" ht="96" customHeight="1" thickBot="1">
      <c r="A4" s="53" t="s">
        <v>0</v>
      </c>
      <c r="B4" s="54" t="s">
        <v>1</v>
      </c>
      <c r="C4" s="88" t="s">
        <v>41</v>
      </c>
      <c r="D4" s="56" t="s">
        <v>4</v>
      </c>
      <c r="E4" s="55" t="s">
        <v>44</v>
      </c>
      <c r="F4" s="55" t="s">
        <v>37</v>
      </c>
      <c r="G4" s="56" t="s">
        <v>28</v>
      </c>
      <c r="H4" s="56" t="s">
        <v>32</v>
      </c>
      <c r="I4" s="56" t="s">
        <v>5</v>
      </c>
      <c r="J4" s="56" t="s">
        <v>36</v>
      </c>
      <c r="K4" s="56" t="s">
        <v>45</v>
      </c>
      <c r="L4" s="56" t="s">
        <v>38</v>
      </c>
      <c r="M4" s="56" t="s">
        <v>29</v>
      </c>
      <c r="N4" s="57" t="s">
        <v>25</v>
      </c>
    </row>
    <row r="5" spans="1:14" ht="15">
      <c r="A5" s="8" t="str">
        <f>"prostěradlo"</f>
        <v>prostěradlo</v>
      </c>
      <c r="B5" s="9"/>
      <c r="C5" s="133"/>
      <c r="D5" s="134"/>
      <c r="E5" s="135"/>
      <c r="F5" s="135"/>
      <c r="G5" s="16">
        <f aca="true" t="shared" si="0" ref="G5:G64">D5*0.21</f>
        <v>0</v>
      </c>
      <c r="H5" s="16">
        <f aca="true" t="shared" si="1" ref="H5:H64">ROUND(D5+G5,2)</f>
        <v>0</v>
      </c>
      <c r="I5" s="107">
        <v>34211</v>
      </c>
      <c r="J5" s="17">
        <f aca="true" t="shared" si="2" ref="J5:J64">D5*I5</f>
        <v>0</v>
      </c>
      <c r="K5" s="17">
        <f aca="true" t="shared" si="3" ref="K5:K64">+I5*E5</f>
        <v>0</v>
      </c>
      <c r="L5" s="17">
        <f aca="true" t="shared" si="4" ref="L5:L64">+I5*F5</f>
        <v>0</v>
      </c>
      <c r="M5" s="17">
        <f aca="true" t="shared" si="5" ref="M5:M64">J5*0.21</f>
        <v>0</v>
      </c>
      <c r="N5" s="18">
        <f aca="true" t="shared" si="6" ref="N5:N64">ROUND(J5+M5,2)</f>
        <v>0</v>
      </c>
    </row>
    <row r="6" spans="1:14" ht="15">
      <c r="A6" s="6" t="str">
        <f>"prostěradlo malé"</f>
        <v>prostěradlo malé</v>
      </c>
      <c r="B6" s="7"/>
      <c r="C6" s="136"/>
      <c r="D6" s="137"/>
      <c r="E6" s="138"/>
      <c r="F6" s="138"/>
      <c r="G6" s="14">
        <f t="shared" si="0"/>
        <v>0</v>
      </c>
      <c r="H6" s="14">
        <f t="shared" si="1"/>
        <v>0</v>
      </c>
      <c r="I6" s="106">
        <v>273</v>
      </c>
      <c r="J6" s="15">
        <f t="shared" si="2"/>
        <v>0</v>
      </c>
      <c r="K6" s="15">
        <f t="shared" si="3"/>
        <v>0</v>
      </c>
      <c r="L6" s="15">
        <f t="shared" si="4"/>
        <v>0</v>
      </c>
      <c r="M6" s="15">
        <f t="shared" si="5"/>
        <v>0</v>
      </c>
      <c r="N6" s="19">
        <f t="shared" si="6"/>
        <v>0</v>
      </c>
    </row>
    <row r="7" spans="1:14" ht="15">
      <c r="A7" s="6" t="str">
        <f>"povlak polštáře"</f>
        <v>povlak polštáře</v>
      </c>
      <c r="B7" s="7"/>
      <c r="C7" s="136"/>
      <c r="D7" s="137"/>
      <c r="E7" s="138"/>
      <c r="F7" s="138"/>
      <c r="G7" s="14">
        <f t="shared" si="0"/>
        <v>0</v>
      </c>
      <c r="H7" s="14">
        <f t="shared" si="1"/>
        <v>0</v>
      </c>
      <c r="I7" s="106">
        <v>38849</v>
      </c>
      <c r="J7" s="15">
        <f t="shared" si="2"/>
        <v>0</v>
      </c>
      <c r="K7" s="15">
        <f t="shared" si="3"/>
        <v>0</v>
      </c>
      <c r="L7" s="15">
        <f t="shared" si="4"/>
        <v>0</v>
      </c>
      <c r="M7" s="15">
        <f t="shared" si="5"/>
        <v>0</v>
      </c>
      <c r="N7" s="19">
        <f t="shared" si="6"/>
        <v>0</v>
      </c>
    </row>
    <row r="8" spans="1:14" ht="15">
      <c r="A8" s="6" t="str">
        <f>"povlak polštáře malý"</f>
        <v>povlak polštáře malý</v>
      </c>
      <c r="B8" s="7"/>
      <c r="C8" s="136"/>
      <c r="D8" s="137"/>
      <c r="E8" s="138"/>
      <c r="F8" s="138"/>
      <c r="G8" s="14">
        <f t="shared" si="0"/>
        <v>0</v>
      </c>
      <c r="H8" s="14">
        <f t="shared" si="1"/>
        <v>0</v>
      </c>
      <c r="I8" s="106">
        <v>1113</v>
      </c>
      <c r="J8" s="15">
        <f t="shared" si="2"/>
        <v>0</v>
      </c>
      <c r="K8" s="15">
        <f t="shared" si="3"/>
        <v>0</v>
      </c>
      <c r="L8" s="15">
        <f t="shared" si="4"/>
        <v>0</v>
      </c>
      <c r="M8" s="15">
        <f t="shared" si="5"/>
        <v>0</v>
      </c>
      <c r="N8" s="19">
        <f t="shared" si="6"/>
        <v>0</v>
      </c>
    </row>
    <row r="9" spans="1:14" ht="15">
      <c r="A9" s="6" t="str">
        <f>"povlak přikrývky"</f>
        <v>povlak přikrývky</v>
      </c>
      <c r="B9" s="7"/>
      <c r="C9" s="136"/>
      <c r="D9" s="137"/>
      <c r="E9" s="138"/>
      <c r="F9" s="138"/>
      <c r="G9" s="14">
        <f t="shared" si="0"/>
        <v>0</v>
      </c>
      <c r="H9" s="14">
        <f t="shared" si="1"/>
        <v>0</v>
      </c>
      <c r="I9" s="106">
        <v>38373</v>
      </c>
      <c r="J9" s="15">
        <f t="shared" si="2"/>
        <v>0</v>
      </c>
      <c r="K9" s="15">
        <f t="shared" si="3"/>
        <v>0</v>
      </c>
      <c r="L9" s="15">
        <f t="shared" si="4"/>
        <v>0</v>
      </c>
      <c r="M9" s="15">
        <f t="shared" si="5"/>
        <v>0</v>
      </c>
      <c r="N9" s="19">
        <f t="shared" si="6"/>
        <v>0</v>
      </c>
    </row>
    <row r="10" spans="1:14" ht="15">
      <c r="A10" s="6" t="str">
        <f>"povlak přikrývky malý"</f>
        <v>povlak přikrývky malý</v>
      </c>
      <c r="B10" s="7"/>
      <c r="C10" s="136"/>
      <c r="D10" s="137"/>
      <c r="E10" s="138"/>
      <c r="F10" s="138"/>
      <c r="G10" s="14">
        <f t="shared" si="0"/>
        <v>0</v>
      </c>
      <c r="H10" s="14">
        <f t="shared" si="1"/>
        <v>0</v>
      </c>
      <c r="I10" s="106">
        <v>399</v>
      </c>
      <c r="J10" s="15">
        <f t="shared" si="2"/>
        <v>0</v>
      </c>
      <c r="K10" s="15">
        <f t="shared" si="3"/>
        <v>0</v>
      </c>
      <c r="L10" s="15">
        <f t="shared" si="4"/>
        <v>0</v>
      </c>
      <c r="M10" s="15">
        <f t="shared" si="5"/>
        <v>0</v>
      </c>
      <c r="N10" s="19">
        <f t="shared" si="6"/>
        <v>0</v>
      </c>
    </row>
    <row r="11" spans="1:14" ht="15">
      <c r="A11" s="6" t="str">
        <f>"podložka"</f>
        <v>podložka</v>
      </c>
      <c r="B11" s="7"/>
      <c r="C11" s="136"/>
      <c r="D11" s="137"/>
      <c r="E11" s="138"/>
      <c r="F11" s="138"/>
      <c r="G11" s="14">
        <f t="shared" si="0"/>
        <v>0</v>
      </c>
      <c r="H11" s="14">
        <f t="shared" si="1"/>
        <v>0</v>
      </c>
      <c r="I11" s="106">
        <v>38160</v>
      </c>
      <c r="J11" s="15">
        <f t="shared" si="2"/>
        <v>0</v>
      </c>
      <c r="K11" s="15">
        <f t="shared" si="3"/>
        <v>0</v>
      </c>
      <c r="L11" s="15">
        <f t="shared" si="4"/>
        <v>0</v>
      </c>
      <c r="M11" s="15">
        <f t="shared" si="5"/>
        <v>0</v>
      </c>
      <c r="N11" s="19">
        <f t="shared" si="6"/>
        <v>0</v>
      </c>
    </row>
    <row r="12" spans="1:14" ht="15">
      <c r="A12" s="6" t="str">
        <f>"rouška malá 90x90"</f>
        <v>rouška malá 90x90</v>
      </c>
      <c r="B12" s="7"/>
      <c r="C12" s="136"/>
      <c r="D12" s="137"/>
      <c r="E12" s="138"/>
      <c r="F12" s="138"/>
      <c r="G12" s="14">
        <f t="shared" si="0"/>
        <v>0</v>
      </c>
      <c r="H12" s="14">
        <f t="shared" si="1"/>
        <v>0</v>
      </c>
      <c r="I12" s="106">
        <v>3421</v>
      </c>
      <c r="J12" s="15">
        <f t="shared" si="2"/>
        <v>0</v>
      </c>
      <c r="K12" s="15">
        <f t="shared" si="3"/>
        <v>0</v>
      </c>
      <c r="L12" s="15">
        <f t="shared" si="4"/>
        <v>0</v>
      </c>
      <c r="M12" s="15">
        <f t="shared" si="5"/>
        <v>0</v>
      </c>
      <c r="N12" s="19">
        <f t="shared" si="6"/>
        <v>0</v>
      </c>
    </row>
    <row r="13" spans="1:14" ht="15">
      <c r="A13" s="108" t="str">
        <f>"rouška malá 90x90 perf."</f>
        <v>rouška malá 90x90 perf.</v>
      </c>
      <c r="B13" s="109"/>
      <c r="C13" s="136"/>
      <c r="D13" s="137"/>
      <c r="E13" s="138"/>
      <c r="F13" s="138"/>
      <c r="G13" s="110">
        <f t="shared" si="0"/>
        <v>0</v>
      </c>
      <c r="H13" s="110">
        <f t="shared" si="1"/>
        <v>0</v>
      </c>
      <c r="I13" s="111">
        <v>261</v>
      </c>
      <c r="J13" s="112">
        <f t="shared" si="2"/>
        <v>0</v>
      </c>
      <c r="K13" s="112">
        <f t="shared" si="3"/>
        <v>0</v>
      </c>
      <c r="L13" s="112">
        <f t="shared" si="4"/>
        <v>0</v>
      </c>
      <c r="M13" s="112">
        <f t="shared" si="5"/>
        <v>0</v>
      </c>
      <c r="N13" s="113">
        <f t="shared" si="6"/>
        <v>0</v>
      </c>
    </row>
    <row r="14" spans="1:14" ht="15">
      <c r="A14" s="108" t="str">
        <f>"rouška střední 110x140"</f>
        <v>rouška střední 110x140</v>
      </c>
      <c r="B14" s="109"/>
      <c r="C14" s="136"/>
      <c r="D14" s="137"/>
      <c r="E14" s="138"/>
      <c r="F14" s="138"/>
      <c r="G14" s="110">
        <f t="shared" si="0"/>
        <v>0</v>
      </c>
      <c r="H14" s="110">
        <f t="shared" si="1"/>
        <v>0</v>
      </c>
      <c r="I14" s="111">
        <v>1886</v>
      </c>
      <c r="J14" s="112">
        <f t="shared" si="2"/>
        <v>0</v>
      </c>
      <c r="K14" s="112">
        <f t="shared" si="3"/>
        <v>0</v>
      </c>
      <c r="L14" s="112">
        <f t="shared" si="4"/>
        <v>0</v>
      </c>
      <c r="M14" s="112">
        <f t="shared" si="5"/>
        <v>0</v>
      </c>
      <c r="N14" s="113">
        <f t="shared" si="6"/>
        <v>0</v>
      </c>
    </row>
    <row r="15" spans="1:14" ht="15">
      <c r="A15" s="108" t="str">
        <f>"rouška střední 110x140 perf."</f>
        <v>rouška střední 110x140 perf.</v>
      </c>
      <c r="B15" s="109"/>
      <c r="C15" s="136"/>
      <c r="D15" s="137"/>
      <c r="E15" s="138"/>
      <c r="F15" s="138"/>
      <c r="G15" s="110">
        <f t="shared" si="0"/>
        <v>0</v>
      </c>
      <c r="H15" s="110">
        <f t="shared" si="1"/>
        <v>0</v>
      </c>
      <c r="I15" s="111">
        <v>30</v>
      </c>
      <c r="J15" s="112">
        <f t="shared" si="2"/>
        <v>0</v>
      </c>
      <c r="K15" s="112">
        <f t="shared" si="3"/>
        <v>0</v>
      </c>
      <c r="L15" s="112">
        <f t="shared" si="4"/>
        <v>0</v>
      </c>
      <c r="M15" s="112">
        <f t="shared" si="5"/>
        <v>0</v>
      </c>
      <c r="N15" s="113">
        <f t="shared" si="6"/>
        <v>0</v>
      </c>
    </row>
    <row r="16" spans="1:14" ht="15">
      <c r="A16" s="108" t="str">
        <f>"rouška velká 140x170"</f>
        <v>rouška velká 140x170</v>
      </c>
      <c r="B16" s="109"/>
      <c r="C16" s="136"/>
      <c r="D16" s="137"/>
      <c r="E16" s="138"/>
      <c r="F16" s="138"/>
      <c r="G16" s="110">
        <f t="shared" si="0"/>
        <v>0</v>
      </c>
      <c r="H16" s="110">
        <f t="shared" si="1"/>
        <v>0</v>
      </c>
      <c r="I16" s="111">
        <v>1513</v>
      </c>
      <c r="J16" s="112">
        <f t="shared" si="2"/>
        <v>0</v>
      </c>
      <c r="K16" s="112">
        <f t="shared" si="3"/>
        <v>0</v>
      </c>
      <c r="L16" s="112">
        <f t="shared" si="4"/>
        <v>0</v>
      </c>
      <c r="M16" s="112">
        <f t="shared" si="5"/>
        <v>0</v>
      </c>
      <c r="N16" s="113">
        <f t="shared" si="6"/>
        <v>0</v>
      </c>
    </row>
    <row r="17" spans="1:14" ht="15">
      <c r="A17" s="108" t="str">
        <f>"halena operační"</f>
        <v>halena operační</v>
      </c>
      <c r="B17" s="109" t="str">
        <f>"modrá "</f>
        <v xml:space="preserve">modrá </v>
      </c>
      <c r="C17" s="136"/>
      <c r="D17" s="137"/>
      <c r="E17" s="138"/>
      <c r="F17" s="138"/>
      <c r="G17" s="110">
        <f t="shared" si="0"/>
        <v>0</v>
      </c>
      <c r="H17" s="110">
        <f t="shared" si="1"/>
        <v>0</v>
      </c>
      <c r="I17" s="111">
        <v>17611</v>
      </c>
      <c r="J17" s="112">
        <f t="shared" si="2"/>
        <v>0</v>
      </c>
      <c r="K17" s="112">
        <f t="shared" si="3"/>
        <v>0</v>
      </c>
      <c r="L17" s="112">
        <f t="shared" si="4"/>
        <v>0</v>
      </c>
      <c r="M17" s="112">
        <f t="shared" si="5"/>
        <v>0</v>
      </c>
      <c r="N17" s="113">
        <f t="shared" si="6"/>
        <v>0</v>
      </c>
    </row>
    <row r="18" spans="1:14" ht="15">
      <c r="A18" s="108" t="str">
        <f>"kalhoty operační"</f>
        <v>kalhoty operační</v>
      </c>
      <c r="B18" s="109" t="s">
        <v>6</v>
      </c>
      <c r="C18" s="136"/>
      <c r="D18" s="137"/>
      <c r="E18" s="138"/>
      <c r="F18" s="138"/>
      <c r="G18" s="110">
        <f t="shared" si="0"/>
        <v>0</v>
      </c>
      <c r="H18" s="110">
        <f t="shared" si="1"/>
        <v>0</v>
      </c>
      <c r="I18" s="111">
        <v>15836</v>
      </c>
      <c r="J18" s="112">
        <f t="shared" si="2"/>
        <v>0</v>
      </c>
      <c r="K18" s="112">
        <f t="shared" si="3"/>
        <v>0</v>
      </c>
      <c r="L18" s="112">
        <f t="shared" si="4"/>
        <v>0</v>
      </c>
      <c r="M18" s="112">
        <f t="shared" si="5"/>
        <v>0</v>
      </c>
      <c r="N18" s="113">
        <f t="shared" si="6"/>
        <v>0</v>
      </c>
    </row>
    <row r="19" spans="1:14" ht="15">
      <c r="A19" s="108" t="str">
        <f>"plášť operační"</f>
        <v>plášť operační</v>
      </c>
      <c r="B19" s="109" t="s">
        <v>7</v>
      </c>
      <c r="C19" s="136"/>
      <c r="D19" s="137"/>
      <c r="E19" s="138"/>
      <c r="F19" s="138"/>
      <c r="G19" s="110">
        <f t="shared" si="0"/>
        <v>0</v>
      </c>
      <c r="H19" s="110">
        <f t="shared" si="1"/>
        <v>0</v>
      </c>
      <c r="I19" s="111">
        <v>50</v>
      </c>
      <c r="J19" s="112">
        <f t="shared" si="2"/>
        <v>0</v>
      </c>
      <c r="K19" s="112">
        <f t="shared" si="3"/>
        <v>0</v>
      </c>
      <c r="L19" s="112">
        <f t="shared" si="4"/>
        <v>0</v>
      </c>
      <c r="M19" s="112">
        <f t="shared" si="5"/>
        <v>0</v>
      </c>
      <c r="N19" s="113">
        <f t="shared" si="6"/>
        <v>0</v>
      </c>
    </row>
    <row r="20" spans="1:14" ht="15">
      <c r="A20" s="108" t="str">
        <f>"pyžamový kabátek dětský"</f>
        <v>pyžamový kabátek dětský</v>
      </c>
      <c r="B20" s="109"/>
      <c r="C20" s="136"/>
      <c r="D20" s="137"/>
      <c r="E20" s="138"/>
      <c r="F20" s="138"/>
      <c r="G20" s="110">
        <f t="shared" si="0"/>
        <v>0</v>
      </c>
      <c r="H20" s="110">
        <f t="shared" si="1"/>
        <v>0</v>
      </c>
      <c r="I20" s="111">
        <v>506</v>
      </c>
      <c r="J20" s="112">
        <f t="shared" si="2"/>
        <v>0</v>
      </c>
      <c r="K20" s="112">
        <f t="shared" si="3"/>
        <v>0</v>
      </c>
      <c r="L20" s="112">
        <f t="shared" si="4"/>
        <v>0</v>
      </c>
      <c r="M20" s="112">
        <f t="shared" si="5"/>
        <v>0</v>
      </c>
      <c r="N20" s="113">
        <f t="shared" si="6"/>
        <v>0</v>
      </c>
    </row>
    <row r="21" spans="1:14" ht="15">
      <c r="A21" s="108" t="str">
        <f>"pyžamové kalhoty dětské"</f>
        <v>pyžamové kalhoty dětské</v>
      </c>
      <c r="B21" s="109"/>
      <c r="C21" s="136"/>
      <c r="D21" s="137"/>
      <c r="E21" s="138"/>
      <c r="F21" s="138"/>
      <c r="G21" s="110">
        <f t="shared" si="0"/>
        <v>0</v>
      </c>
      <c r="H21" s="110">
        <f t="shared" si="1"/>
        <v>0</v>
      </c>
      <c r="I21" s="111">
        <v>419</v>
      </c>
      <c r="J21" s="112">
        <f t="shared" si="2"/>
        <v>0</v>
      </c>
      <c r="K21" s="112">
        <f t="shared" si="3"/>
        <v>0</v>
      </c>
      <c r="L21" s="112">
        <f t="shared" si="4"/>
        <v>0</v>
      </c>
      <c r="M21" s="112">
        <f t="shared" si="5"/>
        <v>0</v>
      </c>
      <c r="N21" s="113">
        <f t="shared" si="6"/>
        <v>0</v>
      </c>
    </row>
    <row r="22" spans="1:14" ht="15">
      <c r="A22" s="108" t="str">
        <f>"košilka kojenecká"</f>
        <v>košilka kojenecká</v>
      </c>
      <c r="B22" s="109"/>
      <c r="C22" s="136"/>
      <c r="D22" s="137"/>
      <c r="E22" s="138"/>
      <c r="F22" s="138"/>
      <c r="G22" s="110">
        <f t="shared" si="0"/>
        <v>0</v>
      </c>
      <c r="H22" s="110">
        <f t="shared" si="1"/>
        <v>0</v>
      </c>
      <c r="I22" s="111">
        <v>50</v>
      </c>
      <c r="J22" s="112">
        <f t="shared" si="2"/>
        <v>0</v>
      </c>
      <c r="K22" s="112">
        <f t="shared" si="3"/>
        <v>0</v>
      </c>
      <c r="L22" s="112">
        <f t="shared" si="4"/>
        <v>0</v>
      </c>
      <c r="M22" s="112">
        <f t="shared" si="5"/>
        <v>0</v>
      </c>
      <c r="N22" s="113">
        <f t="shared" si="6"/>
        <v>0</v>
      </c>
    </row>
    <row r="23" spans="1:14" ht="15">
      <c r="A23" s="108" t="str">
        <f>"košilka denní dětská"</f>
        <v>košilka denní dětská</v>
      </c>
      <c r="B23" s="109"/>
      <c r="C23" s="136"/>
      <c r="D23" s="137"/>
      <c r="E23" s="138"/>
      <c r="F23" s="138"/>
      <c r="G23" s="110">
        <f t="shared" si="0"/>
        <v>0</v>
      </c>
      <c r="H23" s="110">
        <f t="shared" si="1"/>
        <v>0</v>
      </c>
      <c r="I23" s="111">
        <v>121</v>
      </c>
      <c r="J23" s="112">
        <f t="shared" si="2"/>
        <v>0</v>
      </c>
      <c r="K23" s="112">
        <f t="shared" si="3"/>
        <v>0</v>
      </c>
      <c r="L23" s="112">
        <f t="shared" si="4"/>
        <v>0</v>
      </c>
      <c r="M23" s="112">
        <f t="shared" si="5"/>
        <v>0</v>
      </c>
      <c r="N23" s="113">
        <f t="shared" si="6"/>
        <v>0</v>
      </c>
    </row>
    <row r="24" spans="1:14" ht="15">
      <c r="A24" s="108" t="str">
        <f>"dupačky"</f>
        <v>dupačky</v>
      </c>
      <c r="B24" s="109"/>
      <c r="C24" s="136"/>
      <c r="D24" s="137"/>
      <c r="E24" s="138"/>
      <c r="F24" s="138"/>
      <c r="G24" s="110">
        <f t="shared" si="0"/>
        <v>0</v>
      </c>
      <c r="H24" s="110">
        <f t="shared" si="1"/>
        <v>0</v>
      </c>
      <c r="I24" s="111">
        <v>2070</v>
      </c>
      <c r="J24" s="112">
        <f t="shared" si="2"/>
        <v>0</v>
      </c>
      <c r="K24" s="112">
        <f t="shared" si="3"/>
        <v>0</v>
      </c>
      <c r="L24" s="112">
        <f t="shared" si="4"/>
        <v>0</v>
      </c>
      <c r="M24" s="112">
        <f t="shared" si="5"/>
        <v>0</v>
      </c>
      <c r="N24" s="113">
        <f t="shared" si="6"/>
        <v>0</v>
      </c>
    </row>
    <row r="25" spans="1:14" ht="15">
      <c r="A25" s="108" t="str">
        <f>"plena"</f>
        <v>plena</v>
      </c>
      <c r="B25" s="109"/>
      <c r="C25" s="136"/>
      <c r="D25" s="137"/>
      <c r="E25" s="138"/>
      <c r="F25" s="138"/>
      <c r="G25" s="110">
        <f t="shared" si="0"/>
        <v>0</v>
      </c>
      <c r="H25" s="110">
        <f t="shared" si="1"/>
        <v>0</v>
      </c>
      <c r="I25" s="111">
        <v>107</v>
      </c>
      <c r="J25" s="112">
        <f t="shared" si="2"/>
        <v>0</v>
      </c>
      <c r="K25" s="112">
        <f t="shared" si="3"/>
        <v>0</v>
      </c>
      <c r="L25" s="112">
        <f t="shared" si="4"/>
        <v>0</v>
      </c>
      <c r="M25" s="112">
        <f t="shared" si="5"/>
        <v>0</v>
      </c>
      <c r="N25" s="113">
        <f t="shared" si="6"/>
        <v>0</v>
      </c>
    </row>
    <row r="26" spans="1:14" ht="15">
      <c r="A26" s="108" t="str">
        <f>"kabátek pyžamový"</f>
        <v>kabátek pyžamový</v>
      </c>
      <c r="B26" s="109"/>
      <c r="C26" s="136"/>
      <c r="D26" s="137"/>
      <c r="E26" s="138"/>
      <c r="F26" s="138"/>
      <c r="G26" s="110">
        <f t="shared" si="0"/>
        <v>0</v>
      </c>
      <c r="H26" s="110">
        <f t="shared" si="1"/>
        <v>0</v>
      </c>
      <c r="I26" s="111">
        <v>3801</v>
      </c>
      <c r="J26" s="112">
        <f t="shared" si="2"/>
        <v>0</v>
      </c>
      <c r="K26" s="112">
        <f t="shared" si="3"/>
        <v>0</v>
      </c>
      <c r="L26" s="112">
        <f t="shared" si="4"/>
        <v>0</v>
      </c>
      <c r="M26" s="112">
        <f t="shared" si="5"/>
        <v>0</v>
      </c>
      <c r="N26" s="113">
        <f t="shared" si="6"/>
        <v>0</v>
      </c>
    </row>
    <row r="27" spans="1:14" ht="15">
      <c r="A27" s="108" t="str">
        <f>"kalhoty pyžamové"</f>
        <v>kalhoty pyžamové</v>
      </c>
      <c r="B27" s="109"/>
      <c r="C27" s="136"/>
      <c r="D27" s="137"/>
      <c r="E27" s="138"/>
      <c r="F27" s="138"/>
      <c r="G27" s="110">
        <f t="shared" si="0"/>
        <v>0</v>
      </c>
      <c r="H27" s="110">
        <f t="shared" si="1"/>
        <v>0</v>
      </c>
      <c r="I27" s="111">
        <v>3569</v>
      </c>
      <c r="J27" s="112">
        <f t="shared" si="2"/>
        <v>0</v>
      </c>
      <c r="K27" s="112">
        <f t="shared" si="3"/>
        <v>0</v>
      </c>
      <c r="L27" s="112">
        <f t="shared" si="4"/>
        <v>0</v>
      </c>
      <c r="M27" s="112">
        <f t="shared" si="5"/>
        <v>0</v>
      </c>
      <c r="N27" s="113">
        <f t="shared" si="6"/>
        <v>0</v>
      </c>
    </row>
    <row r="28" spans="1:14" ht="15">
      <c r="A28" s="108" t="str">
        <f>"košile noční"</f>
        <v>košile noční</v>
      </c>
      <c r="B28" s="109"/>
      <c r="C28" s="136"/>
      <c r="D28" s="137"/>
      <c r="E28" s="138"/>
      <c r="F28" s="138"/>
      <c r="G28" s="110">
        <f t="shared" si="0"/>
        <v>0</v>
      </c>
      <c r="H28" s="110">
        <f t="shared" si="1"/>
        <v>0</v>
      </c>
      <c r="I28" s="111">
        <v>5769</v>
      </c>
      <c r="J28" s="112">
        <f t="shared" si="2"/>
        <v>0</v>
      </c>
      <c r="K28" s="112">
        <f t="shared" si="3"/>
        <v>0</v>
      </c>
      <c r="L28" s="112">
        <f t="shared" si="4"/>
        <v>0</v>
      </c>
      <c r="M28" s="112">
        <f t="shared" si="5"/>
        <v>0</v>
      </c>
      <c r="N28" s="113">
        <f t="shared" si="6"/>
        <v>0</v>
      </c>
    </row>
    <row r="29" spans="1:14" ht="15">
      <c r="A29" s="108" t="str">
        <f>"košile noční Anděl"</f>
        <v>košile noční Anděl</v>
      </c>
      <c r="B29" s="109"/>
      <c r="C29" s="136"/>
      <c r="D29" s="137"/>
      <c r="E29" s="138"/>
      <c r="F29" s="138"/>
      <c r="G29" s="110">
        <f t="shared" si="0"/>
        <v>0</v>
      </c>
      <c r="H29" s="110">
        <f t="shared" si="1"/>
        <v>0</v>
      </c>
      <c r="I29" s="111">
        <v>18099</v>
      </c>
      <c r="J29" s="112">
        <f t="shared" si="2"/>
        <v>0</v>
      </c>
      <c r="K29" s="112">
        <f t="shared" si="3"/>
        <v>0</v>
      </c>
      <c r="L29" s="112">
        <f t="shared" si="4"/>
        <v>0</v>
      </c>
      <c r="M29" s="112">
        <f t="shared" si="5"/>
        <v>0</v>
      </c>
      <c r="N29" s="113">
        <f t="shared" si="6"/>
        <v>0</v>
      </c>
    </row>
    <row r="30" spans="1:14" ht="15">
      <c r="A30" s="108" t="str">
        <f>"župan"</f>
        <v>župan</v>
      </c>
      <c r="B30" s="109"/>
      <c r="C30" s="136"/>
      <c r="D30" s="137"/>
      <c r="E30" s="138"/>
      <c r="F30" s="138"/>
      <c r="G30" s="110">
        <f t="shared" si="0"/>
        <v>0</v>
      </c>
      <c r="H30" s="110">
        <f t="shared" si="1"/>
        <v>0</v>
      </c>
      <c r="I30" s="111">
        <v>371</v>
      </c>
      <c r="J30" s="112">
        <f t="shared" si="2"/>
        <v>0</v>
      </c>
      <c r="K30" s="112">
        <f t="shared" si="3"/>
        <v>0</v>
      </c>
      <c r="L30" s="112">
        <f t="shared" si="4"/>
        <v>0</v>
      </c>
      <c r="M30" s="112">
        <f t="shared" si="5"/>
        <v>0</v>
      </c>
      <c r="N30" s="113">
        <f t="shared" si="6"/>
        <v>0</v>
      </c>
    </row>
    <row r="31" spans="1:14" ht="15">
      <c r="A31" s="108" t="str">
        <f>"ručník"</f>
        <v>ručník</v>
      </c>
      <c r="B31" s="109"/>
      <c r="C31" s="136"/>
      <c r="D31" s="137"/>
      <c r="E31" s="138"/>
      <c r="F31" s="138"/>
      <c r="G31" s="110">
        <f t="shared" si="0"/>
        <v>0</v>
      </c>
      <c r="H31" s="110">
        <f t="shared" si="1"/>
        <v>0</v>
      </c>
      <c r="I31" s="111">
        <v>13884</v>
      </c>
      <c r="J31" s="112">
        <f t="shared" si="2"/>
        <v>0</v>
      </c>
      <c r="K31" s="112">
        <f t="shared" si="3"/>
        <v>0</v>
      </c>
      <c r="L31" s="112">
        <f t="shared" si="4"/>
        <v>0</v>
      </c>
      <c r="M31" s="112">
        <f t="shared" si="5"/>
        <v>0</v>
      </c>
      <c r="N31" s="113">
        <f t="shared" si="6"/>
        <v>0</v>
      </c>
    </row>
    <row r="32" spans="1:14" ht="15">
      <c r="A32" s="108" t="str">
        <f>"ručník froté"</f>
        <v>ručník froté</v>
      </c>
      <c r="B32" s="109"/>
      <c r="C32" s="136"/>
      <c r="D32" s="137"/>
      <c r="E32" s="138"/>
      <c r="F32" s="138"/>
      <c r="G32" s="110">
        <f t="shared" si="0"/>
        <v>0</v>
      </c>
      <c r="H32" s="110">
        <f t="shared" si="1"/>
        <v>0</v>
      </c>
      <c r="I32" s="111">
        <v>14022</v>
      </c>
      <c r="J32" s="112">
        <f t="shared" si="2"/>
        <v>0</v>
      </c>
      <c r="K32" s="112">
        <f t="shared" si="3"/>
        <v>0</v>
      </c>
      <c r="L32" s="112">
        <f t="shared" si="4"/>
        <v>0</v>
      </c>
      <c r="M32" s="112">
        <f t="shared" si="5"/>
        <v>0</v>
      </c>
      <c r="N32" s="113">
        <f t="shared" si="6"/>
        <v>0</v>
      </c>
    </row>
    <row r="33" spans="1:14" ht="15">
      <c r="A33" s="108" t="str">
        <f>"utěrka"</f>
        <v>utěrka</v>
      </c>
      <c r="B33" s="109"/>
      <c r="C33" s="136"/>
      <c r="D33" s="137"/>
      <c r="E33" s="138"/>
      <c r="F33" s="138"/>
      <c r="G33" s="110">
        <f t="shared" si="0"/>
        <v>0</v>
      </c>
      <c r="H33" s="110">
        <f t="shared" si="1"/>
        <v>0</v>
      </c>
      <c r="I33" s="111">
        <v>6980</v>
      </c>
      <c r="J33" s="112">
        <f t="shared" si="2"/>
        <v>0</v>
      </c>
      <c r="K33" s="112">
        <f t="shared" si="3"/>
        <v>0</v>
      </c>
      <c r="L33" s="112">
        <f t="shared" si="4"/>
        <v>0</v>
      </c>
      <c r="M33" s="112">
        <f t="shared" si="5"/>
        <v>0</v>
      </c>
      <c r="N33" s="113">
        <f t="shared" si="6"/>
        <v>0</v>
      </c>
    </row>
    <row r="34" spans="1:14" ht="15">
      <c r="A34" s="108" t="str">
        <f>"osuška froté"</f>
        <v>osuška froté</v>
      </c>
      <c r="B34" s="109"/>
      <c r="C34" s="136"/>
      <c r="D34" s="137"/>
      <c r="E34" s="138"/>
      <c r="F34" s="138"/>
      <c r="G34" s="110">
        <f t="shared" si="0"/>
        <v>0</v>
      </c>
      <c r="H34" s="110">
        <f t="shared" si="1"/>
        <v>0</v>
      </c>
      <c r="I34" s="111">
        <v>5</v>
      </c>
      <c r="J34" s="112">
        <f t="shared" si="2"/>
        <v>0</v>
      </c>
      <c r="K34" s="112">
        <f t="shared" si="3"/>
        <v>0</v>
      </c>
      <c r="L34" s="112">
        <f t="shared" si="4"/>
        <v>0</v>
      </c>
      <c r="M34" s="112">
        <f t="shared" si="5"/>
        <v>0</v>
      </c>
      <c r="N34" s="113">
        <f t="shared" si="6"/>
        <v>0</v>
      </c>
    </row>
    <row r="35" spans="1:14" ht="15">
      <c r="A35" s="108" t="str">
        <f>"halena"</f>
        <v>halena</v>
      </c>
      <c r="B35" s="109" t="s">
        <v>3</v>
      </c>
      <c r="C35" s="136"/>
      <c r="D35" s="137"/>
      <c r="E35" s="138"/>
      <c r="F35" s="138"/>
      <c r="G35" s="110">
        <f t="shared" si="0"/>
        <v>0</v>
      </c>
      <c r="H35" s="110">
        <f t="shared" si="1"/>
        <v>0</v>
      </c>
      <c r="I35" s="111">
        <v>5266</v>
      </c>
      <c r="J35" s="112">
        <f t="shared" si="2"/>
        <v>0</v>
      </c>
      <c r="K35" s="112">
        <f t="shared" si="3"/>
        <v>0</v>
      </c>
      <c r="L35" s="112">
        <f t="shared" si="4"/>
        <v>0</v>
      </c>
      <c r="M35" s="112">
        <f t="shared" si="5"/>
        <v>0</v>
      </c>
      <c r="N35" s="113">
        <f t="shared" si="6"/>
        <v>0</v>
      </c>
    </row>
    <row r="36" spans="1:14" ht="15">
      <c r="A36" s="108" t="str">
        <f>"halena"</f>
        <v>halena</v>
      </c>
      <c r="B36" s="109" t="s">
        <v>47</v>
      </c>
      <c r="C36" s="136"/>
      <c r="D36" s="137"/>
      <c r="E36" s="138"/>
      <c r="F36" s="138"/>
      <c r="G36" s="110">
        <f t="shared" si="0"/>
        <v>0</v>
      </c>
      <c r="H36" s="110">
        <f t="shared" si="1"/>
        <v>0</v>
      </c>
      <c r="I36" s="111">
        <v>3396</v>
      </c>
      <c r="J36" s="112">
        <f t="shared" si="2"/>
        <v>0</v>
      </c>
      <c r="K36" s="112">
        <f t="shared" si="3"/>
        <v>0</v>
      </c>
      <c r="L36" s="112">
        <f t="shared" si="4"/>
        <v>0</v>
      </c>
      <c r="M36" s="112">
        <f t="shared" si="5"/>
        <v>0</v>
      </c>
      <c r="N36" s="113">
        <f t="shared" si="6"/>
        <v>0</v>
      </c>
    </row>
    <row r="37" spans="1:14" ht="15">
      <c r="A37" s="108" t="str">
        <f>"halena"</f>
        <v>halena</v>
      </c>
      <c r="B37" s="109" t="s">
        <v>48</v>
      </c>
      <c r="C37" s="136"/>
      <c r="D37" s="137"/>
      <c r="E37" s="138"/>
      <c r="F37" s="138"/>
      <c r="G37" s="110">
        <f t="shared" si="0"/>
        <v>0</v>
      </c>
      <c r="H37" s="110">
        <f t="shared" si="1"/>
        <v>0</v>
      </c>
      <c r="I37" s="111">
        <v>3482</v>
      </c>
      <c r="J37" s="112">
        <f t="shared" si="2"/>
        <v>0</v>
      </c>
      <c r="K37" s="112">
        <f t="shared" si="3"/>
        <v>0</v>
      </c>
      <c r="L37" s="112">
        <f t="shared" si="4"/>
        <v>0</v>
      </c>
      <c r="M37" s="112">
        <f t="shared" si="5"/>
        <v>0</v>
      </c>
      <c r="N37" s="113">
        <f t="shared" si="6"/>
        <v>0</v>
      </c>
    </row>
    <row r="38" spans="1:14" ht="15">
      <c r="A38" s="108" t="str">
        <f>"halena žlutý P"</f>
        <v>halena žlutý P</v>
      </c>
      <c r="B38" s="109" t="s">
        <v>3</v>
      </c>
      <c r="C38" s="136"/>
      <c r="D38" s="137"/>
      <c r="E38" s="138"/>
      <c r="F38" s="138"/>
      <c r="G38" s="110">
        <f t="shared" si="0"/>
        <v>0</v>
      </c>
      <c r="H38" s="110">
        <f t="shared" si="1"/>
        <v>0</v>
      </c>
      <c r="I38" s="111">
        <v>1723</v>
      </c>
      <c r="J38" s="112">
        <f t="shared" si="2"/>
        <v>0</v>
      </c>
      <c r="K38" s="112">
        <f t="shared" si="3"/>
        <v>0</v>
      </c>
      <c r="L38" s="112">
        <f t="shared" si="4"/>
        <v>0</v>
      </c>
      <c r="M38" s="112">
        <f t="shared" si="5"/>
        <v>0</v>
      </c>
      <c r="N38" s="113">
        <f t="shared" si="6"/>
        <v>0</v>
      </c>
    </row>
    <row r="39" spans="1:14" ht="15">
      <c r="A39" s="108" t="str">
        <f>"halena modrý P"</f>
        <v>halena modrý P</v>
      </c>
      <c r="B39" s="109" t="s">
        <v>3</v>
      </c>
      <c r="C39" s="136"/>
      <c r="D39" s="137"/>
      <c r="E39" s="138"/>
      <c r="F39" s="138"/>
      <c r="G39" s="110">
        <f t="shared" si="0"/>
        <v>0</v>
      </c>
      <c r="H39" s="110">
        <f t="shared" si="1"/>
        <v>0</v>
      </c>
      <c r="I39" s="111">
        <v>8102</v>
      </c>
      <c r="J39" s="112">
        <f t="shared" si="2"/>
        <v>0</v>
      </c>
      <c r="K39" s="112">
        <f t="shared" si="3"/>
        <v>0</v>
      </c>
      <c r="L39" s="112">
        <f t="shared" si="4"/>
        <v>0</v>
      </c>
      <c r="M39" s="112">
        <f t="shared" si="5"/>
        <v>0</v>
      </c>
      <c r="N39" s="113">
        <f t="shared" si="6"/>
        <v>0</v>
      </c>
    </row>
    <row r="40" spans="1:14" ht="15">
      <c r="A40" s="108" t="str">
        <f>"košile (halena s límcem)"</f>
        <v>košile (halena s límcem)</v>
      </c>
      <c r="B40" s="109" t="s">
        <v>3</v>
      </c>
      <c r="C40" s="136"/>
      <c r="D40" s="137"/>
      <c r="E40" s="138"/>
      <c r="F40" s="138"/>
      <c r="G40" s="110">
        <f t="shared" si="0"/>
        <v>0</v>
      </c>
      <c r="H40" s="110">
        <f t="shared" si="1"/>
        <v>0</v>
      </c>
      <c r="I40" s="111">
        <v>2396</v>
      </c>
      <c r="J40" s="112">
        <f t="shared" si="2"/>
        <v>0</v>
      </c>
      <c r="K40" s="112">
        <f t="shared" si="3"/>
        <v>0</v>
      </c>
      <c r="L40" s="112">
        <f t="shared" si="4"/>
        <v>0</v>
      </c>
      <c r="M40" s="112">
        <f t="shared" si="5"/>
        <v>0</v>
      </c>
      <c r="N40" s="113">
        <f t="shared" si="6"/>
        <v>0</v>
      </c>
    </row>
    <row r="41" spans="1:18" ht="15">
      <c r="A41" s="108" t="str">
        <f aca="true" t="shared" si="7" ref="A41:A54">"kalhoty"</f>
        <v>kalhoty</v>
      </c>
      <c r="B41" s="109" t="str">
        <f>"dámské prodl. bílé "</f>
        <v xml:space="preserve">dámské prodl. bílé </v>
      </c>
      <c r="C41" s="136"/>
      <c r="D41" s="137"/>
      <c r="E41" s="138"/>
      <c r="F41" s="138"/>
      <c r="G41" s="110">
        <f t="shared" si="0"/>
        <v>0</v>
      </c>
      <c r="H41" s="110">
        <f t="shared" si="1"/>
        <v>0</v>
      </c>
      <c r="I41" s="111">
        <v>5713</v>
      </c>
      <c r="J41" s="112">
        <f t="shared" si="2"/>
        <v>0</v>
      </c>
      <c r="K41" s="112">
        <f t="shared" si="3"/>
        <v>0</v>
      </c>
      <c r="L41" s="112">
        <f t="shared" si="4"/>
        <v>0</v>
      </c>
      <c r="M41" s="112">
        <f t="shared" si="5"/>
        <v>0</v>
      </c>
      <c r="N41" s="113">
        <f t="shared" si="6"/>
        <v>0</v>
      </c>
      <c r="Q41" s="51"/>
      <c r="R41" s="105"/>
    </row>
    <row r="42" spans="1:17" ht="15">
      <c r="A42" s="108" t="str">
        <f t="shared" si="7"/>
        <v>kalhoty</v>
      </c>
      <c r="B42" s="109" t="str">
        <f>"pánské zkrác. bílé "</f>
        <v xml:space="preserve">pánské zkrác. bílé </v>
      </c>
      <c r="C42" s="136"/>
      <c r="D42" s="137"/>
      <c r="E42" s="138"/>
      <c r="F42" s="138"/>
      <c r="G42" s="110">
        <f t="shared" si="0"/>
        <v>0</v>
      </c>
      <c r="H42" s="110">
        <f t="shared" si="1"/>
        <v>0</v>
      </c>
      <c r="I42" s="111">
        <v>274</v>
      </c>
      <c r="J42" s="112">
        <f t="shared" si="2"/>
        <v>0</v>
      </c>
      <c r="K42" s="112">
        <f t="shared" si="3"/>
        <v>0</v>
      </c>
      <c r="L42" s="112">
        <f t="shared" si="4"/>
        <v>0</v>
      </c>
      <c r="M42" s="112">
        <f t="shared" si="5"/>
        <v>0</v>
      </c>
      <c r="N42" s="113">
        <f t="shared" si="6"/>
        <v>0</v>
      </c>
      <c r="Q42" s="51"/>
    </row>
    <row r="43" spans="1:17" ht="15">
      <c r="A43" s="108" t="str">
        <f t="shared" si="7"/>
        <v>kalhoty</v>
      </c>
      <c r="B43" s="109" t="str">
        <f>"dámské bílé "</f>
        <v xml:space="preserve">dámské bílé </v>
      </c>
      <c r="C43" s="136"/>
      <c r="D43" s="137"/>
      <c r="E43" s="138"/>
      <c r="F43" s="138"/>
      <c r="G43" s="110">
        <f t="shared" si="0"/>
        <v>0</v>
      </c>
      <c r="H43" s="110">
        <f t="shared" si="1"/>
        <v>0</v>
      </c>
      <c r="I43" s="111">
        <v>8309</v>
      </c>
      <c r="J43" s="112">
        <f t="shared" si="2"/>
        <v>0</v>
      </c>
      <c r="K43" s="112">
        <f t="shared" si="3"/>
        <v>0</v>
      </c>
      <c r="L43" s="112">
        <f t="shared" si="4"/>
        <v>0</v>
      </c>
      <c r="M43" s="112">
        <f t="shared" si="5"/>
        <v>0</v>
      </c>
      <c r="N43" s="113">
        <f t="shared" si="6"/>
        <v>0</v>
      </c>
      <c r="Q43" s="51"/>
    </row>
    <row r="44" spans="1:17" ht="15">
      <c r="A44" s="108" t="str">
        <f t="shared" si="7"/>
        <v>kalhoty</v>
      </c>
      <c r="B44" s="109" t="str">
        <f>"dámské zkrác. bílé "</f>
        <v xml:space="preserve">dámské zkrác. bílé </v>
      </c>
      <c r="C44" s="136"/>
      <c r="D44" s="137"/>
      <c r="E44" s="138"/>
      <c r="F44" s="138"/>
      <c r="G44" s="110">
        <f t="shared" si="0"/>
        <v>0</v>
      </c>
      <c r="H44" s="110">
        <f t="shared" si="1"/>
        <v>0</v>
      </c>
      <c r="I44" s="111">
        <v>1841</v>
      </c>
      <c r="J44" s="112">
        <f t="shared" si="2"/>
        <v>0</v>
      </c>
      <c r="K44" s="112">
        <f t="shared" si="3"/>
        <v>0</v>
      </c>
      <c r="L44" s="112">
        <f t="shared" si="4"/>
        <v>0</v>
      </c>
      <c r="M44" s="112">
        <f t="shared" si="5"/>
        <v>0</v>
      </c>
      <c r="N44" s="113">
        <f t="shared" si="6"/>
        <v>0</v>
      </c>
      <c r="Q44" s="51"/>
    </row>
    <row r="45" spans="1:17" ht="15">
      <c r="A45" s="108" t="str">
        <f t="shared" si="7"/>
        <v>kalhoty</v>
      </c>
      <c r="B45" s="109" t="str">
        <f>"pánské bílé "</f>
        <v xml:space="preserve">pánské bílé </v>
      </c>
      <c r="C45" s="136"/>
      <c r="D45" s="137"/>
      <c r="E45" s="138"/>
      <c r="F45" s="138"/>
      <c r="G45" s="110">
        <f t="shared" si="0"/>
        <v>0</v>
      </c>
      <c r="H45" s="110">
        <f t="shared" si="1"/>
        <v>0</v>
      </c>
      <c r="I45" s="111">
        <v>1983</v>
      </c>
      <c r="J45" s="112">
        <f t="shared" si="2"/>
        <v>0</v>
      </c>
      <c r="K45" s="112">
        <f t="shared" si="3"/>
        <v>0</v>
      </c>
      <c r="L45" s="112">
        <f t="shared" si="4"/>
        <v>0</v>
      </c>
      <c r="M45" s="112">
        <f t="shared" si="5"/>
        <v>0</v>
      </c>
      <c r="N45" s="113">
        <f t="shared" si="6"/>
        <v>0</v>
      </c>
      <c r="Q45" s="51"/>
    </row>
    <row r="46" spans="1:17" ht="15">
      <c r="A46" s="108" t="str">
        <f t="shared" si="7"/>
        <v>kalhoty</v>
      </c>
      <c r="B46" s="109" t="str">
        <f>"pánské prodl. bílé "</f>
        <v xml:space="preserve">pánské prodl. bílé </v>
      </c>
      <c r="C46" s="136"/>
      <c r="D46" s="137"/>
      <c r="E46" s="138"/>
      <c r="F46" s="138"/>
      <c r="G46" s="110">
        <f t="shared" si="0"/>
        <v>0</v>
      </c>
      <c r="H46" s="110">
        <f t="shared" si="1"/>
        <v>0</v>
      </c>
      <c r="I46" s="111">
        <v>1416</v>
      </c>
      <c r="J46" s="112">
        <f t="shared" si="2"/>
        <v>0</v>
      </c>
      <c r="K46" s="112">
        <f t="shared" si="3"/>
        <v>0</v>
      </c>
      <c r="L46" s="112">
        <f t="shared" si="4"/>
        <v>0</v>
      </c>
      <c r="M46" s="112">
        <f t="shared" si="5"/>
        <v>0</v>
      </c>
      <c r="N46" s="113">
        <f t="shared" si="6"/>
        <v>0</v>
      </c>
      <c r="Q46" s="51"/>
    </row>
    <row r="47" spans="1:18" ht="15">
      <c r="A47" s="108" t="str">
        <f t="shared" si="7"/>
        <v>kalhoty</v>
      </c>
      <c r="B47" s="109" t="str">
        <f>"pánské zkrác. žluté "</f>
        <v xml:space="preserve">pánské zkrác. žluté </v>
      </c>
      <c r="C47" s="136"/>
      <c r="D47" s="137"/>
      <c r="E47" s="138"/>
      <c r="F47" s="138"/>
      <c r="G47" s="110">
        <f t="shared" si="0"/>
        <v>0</v>
      </c>
      <c r="H47" s="110">
        <f t="shared" si="1"/>
        <v>0</v>
      </c>
      <c r="I47" s="111">
        <v>4</v>
      </c>
      <c r="J47" s="112">
        <f t="shared" si="2"/>
        <v>0</v>
      </c>
      <c r="K47" s="112">
        <f t="shared" si="3"/>
        <v>0</v>
      </c>
      <c r="L47" s="112">
        <f t="shared" si="4"/>
        <v>0</v>
      </c>
      <c r="M47" s="112">
        <f t="shared" si="5"/>
        <v>0</v>
      </c>
      <c r="N47" s="113">
        <f t="shared" si="6"/>
        <v>0</v>
      </c>
      <c r="Q47" s="51"/>
      <c r="R47" s="105"/>
    </row>
    <row r="48" spans="1:17" ht="15">
      <c r="A48" s="108" t="str">
        <f t="shared" si="7"/>
        <v>kalhoty</v>
      </c>
      <c r="B48" s="109" t="str">
        <f>"dámské prodl. žluté "</f>
        <v xml:space="preserve">dámské prodl. žluté </v>
      </c>
      <c r="C48" s="136"/>
      <c r="D48" s="137"/>
      <c r="E48" s="138"/>
      <c r="F48" s="138"/>
      <c r="G48" s="110">
        <f t="shared" si="0"/>
        <v>0</v>
      </c>
      <c r="H48" s="110">
        <f t="shared" si="1"/>
        <v>0</v>
      </c>
      <c r="I48" s="111">
        <v>66</v>
      </c>
      <c r="J48" s="112">
        <f t="shared" si="2"/>
        <v>0</v>
      </c>
      <c r="K48" s="112">
        <f t="shared" si="3"/>
        <v>0</v>
      </c>
      <c r="L48" s="112">
        <f t="shared" si="4"/>
        <v>0</v>
      </c>
      <c r="M48" s="112">
        <f t="shared" si="5"/>
        <v>0</v>
      </c>
      <c r="N48" s="113">
        <f t="shared" si="6"/>
        <v>0</v>
      </c>
      <c r="Q48" s="51"/>
    </row>
    <row r="49" spans="1:17" ht="15">
      <c r="A49" s="108" t="str">
        <f t="shared" si="7"/>
        <v>kalhoty</v>
      </c>
      <c r="B49" s="109" t="str">
        <f>"dámské žluté "</f>
        <v xml:space="preserve">dámské žluté </v>
      </c>
      <c r="C49" s="136"/>
      <c r="D49" s="137"/>
      <c r="E49" s="138"/>
      <c r="F49" s="138"/>
      <c r="G49" s="110">
        <f t="shared" si="0"/>
        <v>0</v>
      </c>
      <c r="H49" s="110">
        <f t="shared" si="1"/>
        <v>0</v>
      </c>
      <c r="I49" s="111">
        <v>838</v>
      </c>
      <c r="J49" s="112">
        <f t="shared" si="2"/>
        <v>0</v>
      </c>
      <c r="K49" s="112">
        <f t="shared" si="3"/>
        <v>0</v>
      </c>
      <c r="L49" s="112">
        <f t="shared" si="4"/>
        <v>0</v>
      </c>
      <c r="M49" s="112">
        <f t="shared" si="5"/>
        <v>0</v>
      </c>
      <c r="N49" s="113">
        <f t="shared" si="6"/>
        <v>0</v>
      </c>
      <c r="Q49" s="51"/>
    </row>
    <row r="50" spans="1:17" ht="15">
      <c r="A50" s="108" t="str">
        <f t="shared" si="7"/>
        <v>kalhoty</v>
      </c>
      <c r="B50" s="109" t="str">
        <f>"dámské zkrác. žluté "</f>
        <v xml:space="preserve">dámské zkrác. žluté </v>
      </c>
      <c r="C50" s="136"/>
      <c r="D50" s="137"/>
      <c r="E50" s="138"/>
      <c r="F50" s="138"/>
      <c r="G50" s="110">
        <f t="shared" si="0"/>
        <v>0</v>
      </c>
      <c r="H50" s="110">
        <f t="shared" si="1"/>
        <v>0</v>
      </c>
      <c r="I50" s="111">
        <v>176</v>
      </c>
      <c r="J50" s="112">
        <f t="shared" si="2"/>
        <v>0</v>
      </c>
      <c r="K50" s="112">
        <f t="shared" si="3"/>
        <v>0</v>
      </c>
      <c r="L50" s="112">
        <f t="shared" si="4"/>
        <v>0</v>
      </c>
      <c r="M50" s="112">
        <f t="shared" si="5"/>
        <v>0</v>
      </c>
      <c r="N50" s="113">
        <f t="shared" si="6"/>
        <v>0</v>
      </c>
      <c r="Q50" s="51"/>
    </row>
    <row r="51" spans="1:17" ht="15">
      <c r="A51" s="108" t="str">
        <f t="shared" si="7"/>
        <v>kalhoty</v>
      </c>
      <c r="B51" s="109" t="str">
        <f>"pánské žluté "</f>
        <v xml:space="preserve">pánské žluté </v>
      </c>
      <c r="C51" s="136"/>
      <c r="D51" s="137"/>
      <c r="E51" s="138"/>
      <c r="F51" s="138"/>
      <c r="G51" s="110">
        <f t="shared" si="0"/>
        <v>0</v>
      </c>
      <c r="H51" s="110">
        <f t="shared" si="1"/>
        <v>0</v>
      </c>
      <c r="I51" s="111">
        <v>53</v>
      </c>
      <c r="J51" s="112">
        <f t="shared" si="2"/>
        <v>0</v>
      </c>
      <c r="K51" s="112">
        <f t="shared" si="3"/>
        <v>0</v>
      </c>
      <c r="L51" s="112">
        <f t="shared" si="4"/>
        <v>0</v>
      </c>
      <c r="M51" s="112">
        <f t="shared" si="5"/>
        <v>0</v>
      </c>
      <c r="N51" s="113">
        <f t="shared" si="6"/>
        <v>0</v>
      </c>
      <c r="Q51" s="51"/>
    </row>
    <row r="52" spans="1:17" ht="15">
      <c r="A52" s="108" t="str">
        <f t="shared" si="7"/>
        <v>kalhoty</v>
      </c>
      <c r="B52" s="109" t="str">
        <f>"pánské prodl. žluté "</f>
        <v xml:space="preserve">pánské prodl. žluté </v>
      </c>
      <c r="C52" s="136"/>
      <c r="D52" s="137"/>
      <c r="E52" s="138"/>
      <c r="F52" s="138"/>
      <c r="G52" s="110">
        <f t="shared" si="0"/>
        <v>0</v>
      </c>
      <c r="H52" s="110">
        <f t="shared" si="1"/>
        <v>0</v>
      </c>
      <c r="I52" s="111">
        <v>18</v>
      </c>
      <c r="J52" s="112">
        <f t="shared" si="2"/>
        <v>0</v>
      </c>
      <c r="K52" s="112">
        <f t="shared" si="3"/>
        <v>0</v>
      </c>
      <c r="L52" s="112">
        <f t="shared" si="4"/>
        <v>0</v>
      </c>
      <c r="M52" s="112">
        <f t="shared" si="5"/>
        <v>0</v>
      </c>
      <c r="N52" s="113">
        <f t="shared" si="6"/>
        <v>0</v>
      </c>
      <c r="Q52" s="51"/>
    </row>
    <row r="53" spans="1:18" ht="15">
      <c r="A53" s="108" t="str">
        <f t="shared" si="7"/>
        <v>kalhoty</v>
      </c>
      <c r="B53" s="109" t="str">
        <f>"dámské fialové "</f>
        <v xml:space="preserve">dámské fialové </v>
      </c>
      <c r="C53" s="136"/>
      <c r="D53" s="137"/>
      <c r="E53" s="138"/>
      <c r="F53" s="138"/>
      <c r="G53" s="110">
        <f t="shared" si="0"/>
        <v>0</v>
      </c>
      <c r="H53" s="110">
        <f t="shared" si="1"/>
        <v>0</v>
      </c>
      <c r="I53" s="111">
        <v>2855</v>
      </c>
      <c r="J53" s="112">
        <f t="shared" si="2"/>
        <v>0</v>
      </c>
      <c r="K53" s="112">
        <f t="shared" si="3"/>
        <v>0</v>
      </c>
      <c r="L53" s="112">
        <f t="shared" si="4"/>
        <v>0</v>
      </c>
      <c r="M53" s="112">
        <f t="shared" si="5"/>
        <v>0</v>
      </c>
      <c r="N53" s="113">
        <f t="shared" si="6"/>
        <v>0</v>
      </c>
      <c r="Q53" s="51"/>
      <c r="R53" s="105"/>
    </row>
    <row r="54" spans="1:17" ht="15">
      <c r="A54" s="108" t="str">
        <f t="shared" si="7"/>
        <v>kalhoty</v>
      </c>
      <c r="B54" s="109" t="str">
        <f>"pánské fialové "</f>
        <v xml:space="preserve">pánské fialové </v>
      </c>
      <c r="C54" s="136"/>
      <c r="D54" s="137"/>
      <c r="E54" s="138"/>
      <c r="F54" s="138"/>
      <c r="G54" s="110">
        <f t="shared" si="0"/>
        <v>0</v>
      </c>
      <c r="H54" s="110">
        <f t="shared" si="1"/>
        <v>0</v>
      </c>
      <c r="I54" s="111">
        <v>95</v>
      </c>
      <c r="J54" s="112">
        <f t="shared" si="2"/>
        <v>0</v>
      </c>
      <c r="K54" s="112">
        <f t="shared" si="3"/>
        <v>0</v>
      </c>
      <c r="L54" s="112">
        <f t="shared" si="4"/>
        <v>0</v>
      </c>
      <c r="M54" s="112">
        <f t="shared" si="5"/>
        <v>0</v>
      </c>
      <c r="N54" s="113">
        <f t="shared" si="6"/>
        <v>0</v>
      </c>
      <c r="Q54" s="51"/>
    </row>
    <row r="55" spans="1:17" s="193" customFormat="1" ht="15">
      <c r="A55" s="187" t="s">
        <v>50</v>
      </c>
      <c r="B55" s="188" t="s">
        <v>3</v>
      </c>
      <c r="C55" s="179"/>
      <c r="D55" s="180"/>
      <c r="E55" s="181"/>
      <c r="F55" s="181"/>
      <c r="G55" s="189">
        <f aca="true" t="shared" si="8" ref="G55">D55*0.21</f>
        <v>0</v>
      </c>
      <c r="H55" s="189">
        <f aca="true" t="shared" si="9" ref="H55">ROUND(D55+G55,2)</f>
        <v>0</v>
      </c>
      <c r="I55" s="190">
        <v>712</v>
      </c>
      <c r="J55" s="191">
        <f aca="true" t="shared" si="10" ref="J55">D55*I55</f>
        <v>0</v>
      </c>
      <c r="K55" s="191">
        <f aca="true" t="shared" si="11" ref="K55">+I55*E55</f>
        <v>0</v>
      </c>
      <c r="L55" s="191">
        <f aca="true" t="shared" si="12" ref="L55">+I55*F55</f>
        <v>0</v>
      </c>
      <c r="M55" s="191">
        <f aca="true" t="shared" si="13" ref="M55">J55*0.21</f>
        <v>0</v>
      </c>
      <c r="N55" s="192">
        <f aca="true" t="shared" si="14" ref="N55">ROUND(J55+M55,2)</f>
        <v>0</v>
      </c>
      <c r="Q55" s="186"/>
    </row>
    <row r="56" spans="1:14" ht="15">
      <c r="A56" s="108" t="str">
        <f>"plášť"</f>
        <v>plášť</v>
      </c>
      <c r="B56" s="109" t="s">
        <v>8</v>
      </c>
      <c r="C56" s="136"/>
      <c r="D56" s="137"/>
      <c r="E56" s="138"/>
      <c r="F56" s="138"/>
      <c r="G56" s="110">
        <f t="shared" si="0"/>
        <v>0</v>
      </c>
      <c r="H56" s="110">
        <f t="shared" si="1"/>
        <v>0</v>
      </c>
      <c r="I56" s="111">
        <v>549</v>
      </c>
      <c r="J56" s="112">
        <f t="shared" si="2"/>
        <v>0</v>
      </c>
      <c r="K56" s="112">
        <f t="shared" si="3"/>
        <v>0</v>
      </c>
      <c r="L56" s="112">
        <f t="shared" si="4"/>
        <v>0</v>
      </c>
      <c r="M56" s="112">
        <f t="shared" si="5"/>
        <v>0</v>
      </c>
      <c r="N56" s="113">
        <f t="shared" si="6"/>
        <v>0</v>
      </c>
    </row>
    <row r="57" spans="1:14" ht="15">
      <c r="A57" s="108" t="str">
        <f>"plášť"</f>
        <v>plášť</v>
      </c>
      <c r="B57" s="109" t="s">
        <v>9</v>
      </c>
      <c r="C57" s="136"/>
      <c r="D57" s="137"/>
      <c r="E57" s="138"/>
      <c r="F57" s="138"/>
      <c r="G57" s="110">
        <f t="shared" si="0"/>
        <v>0</v>
      </c>
      <c r="H57" s="110">
        <f t="shared" si="1"/>
        <v>0</v>
      </c>
      <c r="I57" s="111">
        <v>48</v>
      </c>
      <c r="J57" s="112">
        <f t="shared" si="2"/>
        <v>0</v>
      </c>
      <c r="K57" s="112">
        <f t="shared" si="3"/>
        <v>0</v>
      </c>
      <c r="L57" s="112">
        <f t="shared" si="4"/>
        <v>0</v>
      </c>
      <c r="M57" s="112">
        <f t="shared" si="5"/>
        <v>0</v>
      </c>
      <c r="N57" s="113">
        <f t="shared" si="6"/>
        <v>0</v>
      </c>
    </row>
    <row r="58" spans="1:14" ht="15">
      <c r="A58" s="108" t="str">
        <f>"sukně"</f>
        <v>sukně</v>
      </c>
      <c r="B58" s="109" t="s">
        <v>10</v>
      </c>
      <c r="C58" s="136"/>
      <c r="D58" s="137"/>
      <c r="E58" s="138"/>
      <c r="F58" s="138"/>
      <c r="G58" s="110">
        <f t="shared" si="0"/>
        <v>0</v>
      </c>
      <c r="H58" s="110">
        <f t="shared" si="1"/>
        <v>0</v>
      </c>
      <c r="I58" s="111">
        <v>476</v>
      </c>
      <c r="J58" s="112">
        <f t="shared" si="2"/>
        <v>0</v>
      </c>
      <c r="K58" s="112">
        <f t="shared" si="3"/>
        <v>0</v>
      </c>
      <c r="L58" s="112">
        <f t="shared" si="4"/>
        <v>0</v>
      </c>
      <c r="M58" s="112">
        <f t="shared" si="5"/>
        <v>0</v>
      </c>
      <c r="N58" s="113">
        <f t="shared" si="6"/>
        <v>0</v>
      </c>
    </row>
    <row r="59" spans="1:14" ht="15">
      <c r="A59" s="108" t="str">
        <f>"sukně"</f>
        <v>sukně</v>
      </c>
      <c r="B59" s="109" t="s">
        <v>47</v>
      </c>
      <c r="C59" s="136"/>
      <c r="D59" s="137"/>
      <c r="E59" s="138"/>
      <c r="F59" s="138"/>
      <c r="G59" s="110">
        <f t="shared" si="0"/>
        <v>0</v>
      </c>
      <c r="H59" s="110">
        <f t="shared" si="1"/>
        <v>0</v>
      </c>
      <c r="I59" s="111">
        <v>7</v>
      </c>
      <c r="J59" s="112">
        <f t="shared" si="2"/>
        <v>0</v>
      </c>
      <c r="K59" s="112">
        <f t="shared" si="3"/>
        <v>0</v>
      </c>
      <c r="L59" s="112">
        <f t="shared" si="4"/>
        <v>0</v>
      </c>
      <c r="M59" s="112">
        <f t="shared" si="5"/>
        <v>0</v>
      </c>
      <c r="N59" s="113">
        <f t="shared" si="6"/>
        <v>0</v>
      </c>
    </row>
    <row r="60" spans="1:14" ht="15">
      <c r="A60" s="108" t="str">
        <f>"šortky"</f>
        <v>šortky</v>
      </c>
      <c r="B60" s="109" t="s">
        <v>11</v>
      </c>
      <c r="C60" s="136"/>
      <c r="D60" s="137"/>
      <c r="E60" s="138"/>
      <c r="F60" s="138"/>
      <c r="G60" s="110">
        <f t="shared" si="0"/>
        <v>0</v>
      </c>
      <c r="H60" s="110">
        <f t="shared" si="1"/>
        <v>0</v>
      </c>
      <c r="I60" s="111">
        <v>958</v>
      </c>
      <c r="J60" s="112">
        <f t="shared" si="2"/>
        <v>0</v>
      </c>
      <c r="K60" s="112">
        <f t="shared" si="3"/>
        <v>0</v>
      </c>
      <c r="L60" s="112">
        <f t="shared" si="4"/>
        <v>0</v>
      </c>
      <c r="M60" s="112">
        <f t="shared" si="5"/>
        <v>0</v>
      </c>
      <c r="N60" s="113">
        <f t="shared" si="6"/>
        <v>0</v>
      </c>
    </row>
    <row r="61" spans="1:14" ht="15">
      <c r="A61" s="108" t="str">
        <f>"šortky"</f>
        <v>šortky</v>
      </c>
      <c r="B61" s="109" t="s">
        <v>12</v>
      </c>
      <c r="C61" s="136"/>
      <c r="D61" s="137"/>
      <c r="E61" s="138"/>
      <c r="F61" s="138"/>
      <c r="G61" s="110">
        <f t="shared" si="0"/>
        <v>0</v>
      </c>
      <c r="H61" s="110">
        <f t="shared" si="1"/>
        <v>0</v>
      </c>
      <c r="I61" s="111">
        <v>69</v>
      </c>
      <c r="J61" s="112">
        <f t="shared" si="2"/>
        <v>0</v>
      </c>
      <c r="K61" s="112">
        <f t="shared" si="3"/>
        <v>0</v>
      </c>
      <c r="L61" s="112">
        <f t="shared" si="4"/>
        <v>0</v>
      </c>
      <c r="M61" s="112">
        <f t="shared" si="5"/>
        <v>0</v>
      </c>
      <c r="N61" s="113">
        <f t="shared" si="6"/>
        <v>0</v>
      </c>
    </row>
    <row r="62" spans="1:14" ht="15">
      <c r="A62" s="108" t="str">
        <f>"šortky"</f>
        <v>šortky</v>
      </c>
      <c r="B62" s="109" t="s">
        <v>48</v>
      </c>
      <c r="C62" s="136"/>
      <c r="D62" s="137"/>
      <c r="E62" s="138"/>
      <c r="F62" s="138"/>
      <c r="G62" s="110">
        <f t="shared" si="0"/>
        <v>0</v>
      </c>
      <c r="H62" s="110">
        <f t="shared" si="1"/>
        <v>0</v>
      </c>
      <c r="I62" s="111">
        <v>111</v>
      </c>
      <c r="J62" s="112">
        <f t="shared" si="2"/>
        <v>0</v>
      </c>
      <c r="K62" s="112">
        <f t="shared" si="3"/>
        <v>0</v>
      </c>
      <c r="L62" s="112">
        <f t="shared" si="4"/>
        <v>0</v>
      </c>
      <c r="M62" s="112">
        <f t="shared" si="5"/>
        <v>0</v>
      </c>
      <c r="N62" s="113">
        <f t="shared" si="6"/>
        <v>0</v>
      </c>
    </row>
    <row r="63" spans="1:14" ht="15">
      <c r="A63" s="108" t="str">
        <f>"halena bílá TÝDENNÍ SAZBA"</f>
        <v>halena bílá TÝDENNÍ SAZBA</v>
      </c>
      <c r="B63" s="109" t="str">
        <f>"kuchyně Cheb bílá "</f>
        <v xml:space="preserve">kuchyně Cheb bílá </v>
      </c>
      <c r="C63" s="136"/>
      <c r="D63" s="137"/>
      <c r="E63" s="138"/>
      <c r="F63" s="138"/>
      <c r="G63" s="110">
        <f t="shared" si="0"/>
        <v>0</v>
      </c>
      <c r="H63" s="110">
        <f t="shared" si="1"/>
        <v>0</v>
      </c>
      <c r="I63" s="111">
        <v>3160</v>
      </c>
      <c r="J63" s="112">
        <f t="shared" si="2"/>
        <v>0</v>
      </c>
      <c r="K63" s="112">
        <f t="shared" si="3"/>
        <v>0</v>
      </c>
      <c r="L63" s="112">
        <f t="shared" si="4"/>
        <v>0</v>
      </c>
      <c r="M63" s="112">
        <f t="shared" si="5"/>
        <v>0</v>
      </c>
      <c r="N63" s="113">
        <f t="shared" si="6"/>
        <v>0</v>
      </c>
    </row>
    <row r="64" spans="1:14" ht="15.75" thickBot="1">
      <c r="A64" s="114" t="str">
        <f>"kalhoty bílé TÝDENNÍ SAZBA"</f>
        <v>kalhoty bílé TÝDENNÍ SAZBA</v>
      </c>
      <c r="B64" s="115" t="str">
        <f>"kuchyně Cheb bílé "</f>
        <v xml:space="preserve">kuchyně Cheb bílé </v>
      </c>
      <c r="C64" s="90"/>
      <c r="D64" s="89"/>
      <c r="E64" s="139"/>
      <c r="F64" s="139"/>
      <c r="G64" s="116">
        <f t="shared" si="0"/>
        <v>0</v>
      </c>
      <c r="H64" s="116">
        <f t="shared" si="1"/>
        <v>0</v>
      </c>
      <c r="I64" s="117">
        <v>3160</v>
      </c>
      <c r="J64" s="118">
        <f t="shared" si="2"/>
        <v>0</v>
      </c>
      <c r="K64" s="118">
        <f t="shared" si="3"/>
        <v>0</v>
      </c>
      <c r="L64" s="118">
        <f t="shared" si="4"/>
        <v>0</v>
      </c>
      <c r="M64" s="118">
        <f t="shared" si="5"/>
        <v>0</v>
      </c>
      <c r="N64" s="119">
        <f t="shared" si="6"/>
        <v>0</v>
      </c>
    </row>
    <row r="65" spans="1:14" s="12" customFormat="1" ht="15.75" thickBot="1">
      <c r="A65" s="157" t="s">
        <v>26</v>
      </c>
      <c r="B65" s="158"/>
      <c r="C65" s="158"/>
      <c r="D65" s="158"/>
      <c r="E65" s="158"/>
      <c r="F65" s="158"/>
      <c r="G65" s="158"/>
      <c r="H65" s="158"/>
      <c r="I65" s="159"/>
      <c r="J65" s="85">
        <f>SUM(J5:J64)</f>
        <v>0</v>
      </c>
      <c r="K65" s="85">
        <f aca="true" t="shared" si="15" ref="K65:N65">SUM(K5:K64)</f>
        <v>0</v>
      </c>
      <c r="L65" s="85">
        <f t="shared" si="15"/>
        <v>0</v>
      </c>
      <c r="M65" s="85">
        <f t="shared" si="15"/>
        <v>0</v>
      </c>
      <c r="N65" s="102">
        <f t="shared" si="15"/>
        <v>0</v>
      </c>
    </row>
    <row r="66" spans="1:14" s="2" customFormat="1" ht="15.75" thickBot="1">
      <c r="A66" s="160" t="s">
        <v>27</v>
      </c>
      <c r="B66" s="161"/>
      <c r="C66" s="161"/>
      <c r="D66" s="161"/>
      <c r="E66" s="161"/>
      <c r="F66" s="161"/>
      <c r="G66" s="161"/>
      <c r="H66" s="161"/>
      <c r="I66" s="162"/>
      <c r="J66" s="10">
        <f>J65*4</f>
        <v>0</v>
      </c>
      <c r="K66" s="86">
        <f aca="true" t="shared" si="16" ref="K66:L66">K65*4</f>
        <v>0</v>
      </c>
      <c r="L66" s="86">
        <f t="shared" si="16"/>
        <v>0</v>
      </c>
      <c r="M66" s="86">
        <f>M65*4</f>
        <v>0</v>
      </c>
      <c r="N66" s="87">
        <f>N65*4</f>
        <v>0</v>
      </c>
    </row>
    <row r="68" ht="37.5" customHeight="1">
      <c r="A68" t="s">
        <v>13</v>
      </c>
    </row>
    <row r="70" ht="69" customHeight="1">
      <c r="A70" t="s">
        <v>14</v>
      </c>
    </row>
    <row r="71" ht="15">
      <c r="A71" s="51" t="s">
        <v>43</v>
      </c>
    </row>
  </sheetData>
  <mergeCells count="3">
    <mergeCell ref="A2:N2"/>
    <mergeCell ref="A65:I65"/>
    <mergeCell ref="A66:I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zoomScale="90" zoomScaleNormal="90" workbookViewId="0" topLeftCell="A1">
      <pane ySplit="4" topLeftCell="A8" activePane="bottomLeft" state="frozen"/>
      <selection pane="topLeft" activeCell="B1" sqref="B1"/>
      <selection pane="bottomLeft" activeCell="A2" sqref="A2:I2"/>
    </sheetView>
  </sheetViews>
  <sheetFormatPr defaultColWidth="8.8515625" defaultRowHeight="15"/>
  <cols>
    <col min="1" max="1" width="51.421875" style="0" bestFit="1" customWidth="1"/>
    <col min="2" max="2" width="19.28125" style="0" customWidth="1"/>
    <col min="3" max="3" width="12.00390625" style="0" customWidth="1"/>
    <col min="4" max="4" width="9.140625" style="0" customWidth="1"/>
    <col min="5" max="5" width="11.421875" style="0" customWidth="1"/>
    <col min="6" max="6" width="10.8515625" style="0" customWidth="1"/>
    <col min="7" max="7" width="11.421875" style="0" customWidth="1"/>
    <col min="8" max="8" width="8.7109375" style="0" customWidth="1"/>
    <col min="9" max="9" width="11.8515625" style="0" customWidth="1"/>
  </cols>
  <sheetData>
    <row r="1" ht="15.75">
      <c r="A1" s="101" t="s">
        <v>42</v>
      </c>
    </row>
    <row r="2" spans="1:9" ht="48.75" customHeight="1">
      <c r="A2" s="149" t="s">
        <v>34</v>
      </c>
      <c r="B2" s="149"/>
      <c r="C2" s="149"/>
      <c r="D2" s="149"/>
      <c r="E2" s="149"/>
      <c r="F2" s="149"/>
      <c r="G2" s="149"/>
      <c r="H2" s="149"/>
      <c r="I2" s="149"/>
    </row>
    <row r="3" ht="56.25" customHeight="1" thickBot="1"/>
    <row r="4" spans="1:9" ht="99" customHeight="1" thickBot="1">
      <c r="A4" s="13" t="s">
        <v>0</v>
      </c>
      <c r="B4" s="88" t="s">
        <v>41</v>
      </c>
      <c r="C4" s="32" t="s">
        <v>4</v>
      </c>
      <c r="D4" s="32" t="s">
        <v>28</v>
      </c>
      <c r="E4" s="32" t="s">
        <v>32</v>
      </c>
      <c r="F4" s="32" t="s">
        <v>5</v>
      </c>
      <c r="G4" s="32" t="s">
        <v>24</v>
      </c>
      <c r="H4" s="32" t="s">
        <v>29</v>
      </c>
      <c r="I4" s="33" t="s">
        <v>25</v>
      </c>
    </row>
    <row r="5" spans="1:9" ht="15">
      <c r="A5" s="103" t="str">
        <f>"prostěradlo"</f>
        <v>prostěradlo</v>
      </c>
      <c r="B5" s="133"/>
      <c r="C5" s="134"/>
      <c r="D5" s="16">
        <f aca="true" t="shared" si="0" ref="D5:D55">C5*0.21</f>
        <v>0</v>
      </c>
      <c r="E5" s="16">
        <f aca="true" t="shared" si="1" ref="E5:E55">ROUND(C5+D5,2)</f>
        <v>0</v>
      </c>
      <c r="F5" s="24">
        <v>2</v>
      </c>
      <c r="G5" s="17">
        <f aca="true" t="shared" si="2" ref="G5:G55">C5*F5</f>
        <v>0</v>
      </c>
      <c r="H5" s="17">
        <f aca="true" t="shared" si="3" ref="H5:H55">G5*0.21</f>
        <v>0</v>
      </c>
      <c r="I5" s="18">
        <f aca="true" t="shared" si="4" ref="I5:I55">ROUND(G5+H5,2)</f>
        <v>0</v>
      </c>
    </row>
    <row r="6" spans="1:9" ht="15">
      <c r="A6" s="5" t="str">
        <f>"povlak na přikrývku"</f>
        <v>povlak na přikrývku</v>
      </c>
      <c r="B6" s="136"/>
      <c r="C6" s="137"/>
      <c r="D6" s="14">
        <f t="shared" si="0"/>
        <v>0</v>
      </c>
      <c r="E6" s="14">
        <f t="shared" si="1"/>
        <v>0</v>
      </c>
      <c r="F6" s="3">
        <v>3</v>
      </c>
      <c r="G6" s="15">
        <f t="shared" si="2"/>
        <v>0</v>
      </c>
      <c r="H6" s="15">
        <f t="shared" si="3"/>
        <v>0</v>
      </c>
      <c r="I6" s="19">
        <f t="shared" si="4"/>
        <v>0</v>
      </c>
    </row>
    <row r="7" spans="1:9" ht="15">
      <c r="A7" s="5" t="str">
        <f>"povlak na polštář, dětské prostěradlo"</f>
        <v>povlak na polštář, dětské prostěradlo</v>
      </c>
      <c r="B7" s="136"/>
      <c r="C7" s="137"/>
      <c r="D7" s="14">
        <f t="shared" si="0"/>
        <v>0</v>
      </c>
      <c r="E7" s="14">
        <f t="shared" si="1"/>
        <v>0</v>
      </c>
      <c r="F7" s="3">
        <v>7</v>
      </c>
      <c r="G7" s="15">
        <f t="shared" si="2"/>
        <v>0</v>
      </c>
      <c r="H7" s="15">
        <f t="shared" si="3"/>
        <v>0</v>
      </c>
      <c r="I7" s="19">
        <f t="shared" si="4"/>
        <v>0</v>
      </c>
    </row>
    <row r="8" spans="1:9" ht="15">
      <c r="A8" s="120" t="str">
        <f>"povlak na polštář dětský"</f>
        <v>povlak na polštář dětský</v>
      </c>
      <c r="B8" s="136"/>
      <c r="C8" s="137"/>
      <c r="D8" s="110">
        <f t="shared" si="0"/>
        <v>0</v>
      </c>
      <c r="E8" s="110">
        <f t="shared" si="1"/>
        <v>0</v>
      </c>
      <c r="F8" s="121">
        <v>10</v>
      </c>
      <c r="G8" s="112">
        <f t="shared" si="2"/>
        <v>0</v>
      </c>
      <c r="H8" s="112">
        <f t="shared" si="3"/>
        <v>0</v>
      </c>
      <c r="I8" s="113">
        <f t="shared" si="4"/>
        <v>0</v>
      </c>
    </row>
    <row r="9" spans="1:9" ht="15">
      <c r="A9" s="120" t="str">
        <f>"potah matrace"</f>
        <v>potah matrace</v>
      </c>
      <c r="B9" s="136"/>
      <c r="C9" s="137"/>
      <c r="D9" s="110">
        <f t="shared" si="0"/>
        <v>0</v>
      </c>
      <c r="E9" s="110">
        <f t="shared" si="1"/>
        <v>0</v>
      </c>
      <c r="F9" s="121">
        <v>23</v>
      </c>
      <c r="G9" s="112">
        <f t="shared" si="2"/>
        <v>0</v>
      </c>
      <c r="H9" s="112">
        <f t="shared" si="3"/>
        <v>0</v>
      </c>
      <c r="I9" s="113">
        <f t="shared" si="4"/>
        <v>0</v>
      </c>
    </row>
    <row r="10" spans="1:9" ht="15">
      <c r="A10" s="120" t="str">
        <f>"ubrus do 3 m2"</f>
        <v>ubrus do 3 m2</v>
      </c>
      <c r="B10" s="136"/>
      <c r="C10" s="137"/>
      <c r="D10" s="110">
        <f t="shared" si="0"/>
        <v>0</v>
      </c>
      <c r="E10" s="110">
        <f t="shared" si="1"/>
        <v>0</v>
      </c>
      <c r="F10" s="121">
        <v>5</v>
      </c>
      <c r="G10" s="112">
        <f t="shared" si="2"/>
        <v>0</v>
      </c>
      <c r="H10" s="112">
        <f t="shared" si="3"/>
        <v>0</v>
      </c>
      <c r="I10" s="113">
        <f t="shared" si="4"/>
        <v>0</v>
      </c>
    </row>
    <row r="11" spans="1:9" ht="15">
      <c r="A11" s="120" t="str">
        <f>"záclona 1m"</f>
        <v>záclona 1m</v>
      </c>
      <c r="B11" s="136"/>
      <c r="C11" s="137"/>
      <c r="D11" s="110">
        <f t="shared" si="0"/>
        <v>0</v>
      </c>
      <c r="E11" s="110">
        <f t="shared" si="1"/>
        <v>0</v>
      </c>
      <c r="F11" s="121">
        <v>16</v>
      </c>
      <c r="G11" s="112">
        <f t="shared" si="2"/>
        <v>0</v>
      </c>
      <c r="H11" s="112">
        <f t="shared" si="3"/>
        <v>0</v>
      </c>
      <c r="I11" s="113">
        <f t="shared" si="4"/>
        <v>0</v>
      </c>
    </row>
    <row r="12" spans="1:9" ht="15">
      <c r="A12" s="120" t="str">
        <f>"závěs 1 m praní"</f>
        <v>závěs 1 m praní</v>
      </c>
      <c r="B12" s="136"/>
      <c r="C12" s="137"/>
      <c r="D12" s="110">
        <f t="shared" si="0"/>
        <v>0</v>
      </c>
      <c r="E12" s="110">
        <f t="shared" si="1"/>
        <v>0</v>
      </c>
      <c r="F12" s="121">
        <v>17</v>
      </c>
      <c r="G12" s="112">
        <f t="shared" si="2"/>
        <v>0</v>
      </c>
      <c r="H12" s="112">
        <f t="shared" si="3"/>
        <v>0</v>
      </c>
      <c r="I12" s="113">
        <f t="shared" si="4"/>
        <v>0</v>
      </c>
    </row>
    <row r="13" spans="1:9" ht="15">
      <c r="A13" s="120" t="str">
        <f>"přikrývka (deka)"</f>
        <v>přikrývka (deka)</v>
      </c>
      <c r="B13" s="136"/>
      <c r="C13" s="137"/>
      <c r="D13" s="110">
        <f t="shared" si="0"/>
        <v>0</v>
      </c>
      <c r="E13" s="110">
        <f t="shared" si="1"/>
        <v>0</v>
      </c>
      <c r="F13" s="121">
        <v>143</v>
      </c>
      <c r="G13" s="112">
        <f t="shared" si="2"/>
        <v>0</v>
      </c>
      <c r="H13" s="112">
        <f t="shared" si="3"/>
        <v>0</v>
      </c>
      <c r="I13" s="113">
        <f t="shared" si="4"/>
        <v>0</v>
      </c>
    </row>
    <row r="14" spans="1:9" ht="15">
      <c r="A14" s="120" t="str">
        <f>"šátek, příručník, operační pásy"</f>
        <v>šátek, příručník, operační pásy</v>
      </c>
      <c r="B14" s="136"/>
      <c r="C14" s="137"/>
      <c r="D14" s="110">
        <f t="shared" si="0"/>
        <v>0</v>
      </c>
      <c r="E14" s="110">
        <f t="shared" si="1"/>
        <v>0</v>
      </c>
      <c r="F14" s="121">
        <v>24</v>
      </c>
      <c r="G14" s="112">
        <f t="shared" si="2"/>
        <v>0</v>
      </c>
      <c r="H14" s="112">
        <f t="shared" si="3"/>
        <v>0</v>
      </c>
      <c r="I14" s="113">
        <f t="shared" si="4"/>
        <v>0</v>
      </c>
    </row>
    <row r="15" spans="1:9" ht="15">
      <c r="A15" s="120" t="str">
        <f>"plena"</f>
        <v>plena</v>
      </c>
      <c r="B15" s="136"/>
      <c r="C15" s="137"/>
      <c r="D15" s="110">
        <f t="shared" si="0"/>
        <v>0</v>
      </c>
      <c r="E15" s="110">
        <f t="shared" si="1"/>
        <v>0</v>
      </c>
      <c r="F15" s="121">
        <v>14</v>
      </c>
      <c r="G15" s="112">
        <f t="shared" si="2"/>
        <v>0</v>
      </c>
      <c r="H15" s="112">
        <f t="shared" si="3"/>
        <v>0</v>
      </c>
      <c r="I15" s="113">
        <f t="shared" si="4"/>
        <v>0</v>
      </c>
    </row>
    <row r="16" spans="1:9" ht="15">
      <c r="A16" s="120" t="str">
        <f>"utěrka"</f>
        <v>utěrka</v>
      </c>
      <c r="B16" s="136"/>
      <c r="C16" s="137"/>
      <c r="D16" s="110">
        <f t="shared" si="0"/>
        <v>0</v>
      </c>
      <c r="E16" s="110">
        <f t="shared" si="1"/>
        <v>0</v>
      </c>
      <c r="F16" s="121">
        <v>19</v>
      </c>
      <c r="G16" s="112">
        <f t="shared" si="2"/>
        <v>0</v>
      </c>
      <c r="H16" s="112">
        <f t="shared" si="3"/>
        <v>0</v>
      </c>
      <c r="I16" s="113">
        <f t="shared" si="4"/>
        <v>0</v>
      </c>
    </row>
    <row r="17" spans="1:9" ht="15">
      <c r="A17" s="120" t="str">
        <f>"ručník froté"</f>
        <v>ručník froté</v>
      </c>
      <c r="B17" s="136"/>
      <c r="C17" s="137"/>
      <c r="D17" s="110">
        <f t="shared" si="0"/>
        <v>0</v>
      </c>
      <c r="E17" s="110">
        <f t="shared" si="1"/>
        <v>0</v>
      </c>
      <c r="F17" s="121">
        <v>1</v>
      </c>
      <c r="G17" s="112">
        <f t="shared" si="2"/>
        <v>0</v>
      </c>
      <c r="H17" s="112">
        <f t="shared" si="3"/>
        <v>0</v>
      </c>
      <c r="I17" s="113">
        <f t="shared" si="4"/>
        <v>0</v>
      </c>
    </row>
    <row r="18" spans="1:9" ht="15">
      <c r="A18" s="120" t="str">
        <f>"rouška malá i perf."</f>
        <v>rouška malá i perf.</v>
      </c>
      <c r="B18" s="136"/>
      <c r="C18" s="137"/>
      <c r="D18" s="110">
        <f t="shared" si="0"/>
        <v>0</v>
      </c>
      <c r="E18" s="110">
        <f t="shared" si="1"/>
        <v>0</v>
      </c>
      <c r="F18" s="121">
        <v>2</v>
      </c>
      <c r="G18" s="112">
        <f t="shared" si="2"/>
        <v>0</v>
      </c>
      <c r="H18" s="112">
        <f t="shared" si="3"/>
        <v>0</v>
      </c>
      <c r="I18" s="113">
        <f t="shared" si="4"/>
        <v>0</v>
      </c>
    </row>
    <row r="19" spans="1:9" ht="15">
      <c r="A19" s="120" t="str">
        <f>"rouška velká i perf."</f>
        <v>rouška velká i perf.</v>
      </c>
      <c r="B19" s="136"/>
      <c r="C19" s="137"/>
      <c r="D19" s="110">
        <f t="shared" si="0"/>
        <v>0</v>
      </c>
      <c r="E19" s="110">
        <f t="shared" si="1"/>
        <v>0</v>
      </c>
      <c r="F19" s="121">
        <v>5</v>
      </c>
      <c r="G19" s="112">
        <f t="shared" si="2"/>
        <v>0</v>
      </c>
      <c r="H19" s="112">
        <f t="shared" si="3"/>
        <v>0</v>
      </c>
      <c r="I19" s="113">
        <f t="shared" si="4"/>
        <v>0</v>
      </c>
    </row>
    <row r="20" spans="1:9" ht="15">
      <c r="A20" s="120" t="str">
        <f>"halena, vesta"</f>
        <v>halena, vesta</v>
      </c>
      <c r="B20" s="136"/>
      <c r="C20" s="137"/>
      <c r="D20" s="110">
        <f t="shared" si="0"/>
        <v>0</v>
      </c>
      <c r="E20" s="110">
        <f t="shared" si="1"/>
        <v>0</v>
      </c>
      <c r="F20" s="121">
        <v>147</v>
      </c>
      <c r="G20" s="112">
        <f t="shared" si="2"/>
        <v>0</v>
      </c>
      <c r="H20" s="112">
        <f t="shared" si="3"/>
        <v>0</v>
      </c>
      <c r="I20" s="113">
        <f t="shared" si="4"/>
        <v>0</v>
      </c>
    </row>
    <row r="21" spans="1:9" ht="15">
      <c r="A21" s="120" t="str">
        <f>"pyžamový kabátek, pyž. kalhoty"</f>
        <v>pyžamový kabátek, pyž. kalhoty</v>
      </c>
      <c r="B21" s="136"/>
      <c r="C21" s="137"/>
      <c r="D21" s="110">
        <f t="shared" si="0"/>
        <v>0</v>
      </c>
      <c r="E21" s="110">
        <f t="shared" si="1"/>
        <v>0</v>
      </c>
      <c r="F21" s="121">
        <v>2</v>
      </c>
      <c r="G21" s="112">
        <f t="shared" si="2"/>
        <v>0</v>
      </c>
      <c r="H21" s="112">
        <f t="shared" si="3"/>
        <v>0</v>
      </c>
      <c r="I21" s="113">
        <f t="shared" si="4"/>
        <v>0</v>
      </c>
    </row>
    <row r="22" spans="1:9" ht="15">
      <c r="A22" s="120" t="str">
        <f>"košile noční, anděl"</f>
        <v>košile noční, anděl</v>
      </c>
      <c r="B22" s="136"/>
      <c r="C22" s="137"/>
      <c r="D22" s="110">
        <f t="shared" si="0"/>
        <v>0</v>
      </c>
      <c r="E22" s="110">
        <f t="shared" si="1"/>
        <v>0</v>
      </c>
      <c r="F22" s="121">
        <v>9</v>
      </c>
      <c r="G22" s="112">
        <f t="shared" si="2"/>
        <v>0</v>
      </c>
      <c r="H22" s="112">
        <f t="shared" si="3"/>
        <v>0</v>
      </c>
      <c r="I22" s="113">
        <f t="shared" si="4"/>
        <v>0</v>
      </c>
    </row>
    <row r="23" spans="1:9" ht="15">
      <c r="A23" s="120" t="str">
        <f>"župan"</f>
        <v>župan</v>
      </c>
      <c r="B23" s="136"/>
      <c r="C23" s="137"/>
      <c r="D23" s="110">
        <f t="shared" si="0"/>
        <v>0</v>
      </c>
      <c r="E23" s="110">
        <f t="shared" si="1"/>
        <v>0</v>
      </c>
      <c r="F23" s="121">
        <v>107</v>
      </c>
      <c r="G23" s="112">
        <f t="shared" si="2"/>
        <v>0</v>
      </c>
      <c r="H23" s="112">
        <f t="shared" si="3"/>
        <v>0</v>
      </c>
      <c r="I23" s="113">
        <f t="shared" si="4"/>
        <v>0</v>
      </c>
    </row>
    <row r="24" spans="1:9" ht="15">
      <c r="A24" s="120" t="str">
        <f>"župan dětský"</f>
        <v>župan dětský</v>
      </c>
      <c r="B24" s="136"/>
      <c r="C24" s="137"/>
      <c r="D24" s="110">
        <f t="shared" si="0"/>
        <v>0</v>
      </c>
      <c r="E24" s="110">
        <f t="shared" si="1"/>
        <v>0</v>
      </c>
      <c r="F24" s="121">
        <v>5</v>
      </c>
      <c r="G24" s="112">
        <f t="shared" si="2"/>
        <v>0</v>
      </c>
      <c r="H24" s="112">
        <f t="shared" si="3"/>
        <v>0</v>
      </c>
      <c r="I24" s="113">
        <f t="shared" si="4"/>
        <v>0</v>
      </c>
    </row>
    <row r="25" spans="1:9" ht="15">
      <c r="A25" s="120" t="str">
        <f>"drobné do 25x25, bryndák, návleky, tonometr, ústenka"</f>
        <v>drobné do 25x25, bryndák, návleky, tonometr, ústenka</v>
      </c>
      <c r="B25" s="136"/>
      <c r="C25" s="137"/>
      <c r="D25" s="110">
        <f t="shared" si="0"/>
        <v>0</v>
      </c>
      <c r="E25" s="110">
        <f t="shared" si="1"/>
        <v>0</v>
      </c>
      <c r="F25" s="121">
        <v>3527</v>
      </c>
      <c r="G25" s="112">
        <f t="shared" si="2"/>
        <v>0</v>
      </c>
      <c r="H25" s="112">
        <f t="shared" si="3"/>
        <v>0</v>
      </c>
      <c r="I25" s="113">
        <f t="shared" si="4"/>
        <v>0</v>
      </c>
    </row>
    <row r="26" spans="1:9" ht="15">
      <c r="A26" s="120" t="str">
        <f>"spodní prádlo - slipy, trenýrky, štulpny 1 pár"</f>
        <v>spodní prádlo - slipy, trenýrky, štulpny 1 pár</v>
      </c>
      <c r="B26" s="136"/>
      <c r="C26" s="137"/>
      <c r="D26" s="110">
        <f t="shared" si="0"/>
        <v>0</v>
      </c>
      <c r="E26" s="110">
        <f t="shared" si="1"/>
        <v>0</v>
      </c>
      <c r="F26" s="121">
        <v>1</v>
      </c>
      <c r="G26" s="112">
        <f t="shared" si="2"/>
        <v>0</v>
      </c>
      <c r="H26" s="112">
        <f t="shared" si="3"/>
        <v>0</v>
      </c>
      <c r="I26" s="113">
        <f t="shared" si="4"/>
        <v>0</v>
      </c>
    </row>
    <row r="27" spans="1:9" ht="15">
      <c r="A27" s="120" t="str">
        <f>"dekuba"</f>
        <v>dekuba</v>
      </c>
      <c r="B27" s="136"/>
      <c r="C27" s="137"/>
      <c r="D27" s="110">
        <f t="shared" si="0"/>
        <v>0</v>
      </c>
      <c r="E27" s="110">
        <f t="shared" si="1"/>
        <v>0</v>
      </c>
      <c r="F27" s="121">
        <v>5</v>
      </c>
      <c r="G27" s="112">
        <f t="shared" si="2"/>
        <v>0</v>
      </c>
      <c r="H27" s="112">
        <f t="shared" si="3"/>
        <v>0</v>
      </c>
      <c r="I27" s="113">
        <f t="shared" si="4"/>
        <v>0</v>
      </c>
    </row>
    <row r="28" spans="1:9" ht="15">
      <c r="A28" s="120" t="str">
        <f>"obinadla pytel, obal na léhátko"</f>
        <v>obinadla pytel, obal na léhátko</v>
      </c>
      <c r="B28" s="136"/>
      <c r="C28" s="137"/>
      <c r="D28" s="110">
        <f t="shared" si="0"/>
        <v>0</v>
      </c>
      <c r="E28" s="110">
        <f t="shared" si="1"/>
        <v>0</v>
      </c>
      <c r="F28" s="121">
        <v>5</v>
      </c>
      <c r="G28" s="112">
        <f t="shared" si="2"/>
        <v>0</v>
      </c>
      <c r="H28" s="112">
        <f t="shared" si="3"/>
        <v>0</v>
      </c>
      <c r="I28" s="113">
        <f t="shared" si="4"/>
        <v>0</v>
      </c>
    </row>
    <row r="29" spans="1:9" ht="15">
      <c r="A29" s="120" t="str">
        <f>"košile (halenka, polokošile)"</f>
        <v>košile (halenka, polokošile)</v>
      </c>
      <c r="B29" s="136"/>
      <c r="C29" s="137"/>
      <c r="D29" s="110">
        <f t="shared" si="0"/>
        <v>0</v>
      </c>
      <c r="E29" s="110">
        <f t="shared" si="1"/>
        <v>0</v>
      </c>
      <c r="F29" s="121">
        <v>1050</v>
      </c>
      <c r="G29" s="112">
        <f t="shared" si="2"/>
        <v>0</v>
      </c>
      <c r="H29" s="112">
        <f t="shared" si="3"/>
        <v>0</v>
      </c>
      <c r="I29" s="113">
        <f t="shared" si="4"/>
        <v>0</v>
      </c>
    </row>
    <row r="30" spans="1:9" ht="15">
      <c r="A30" s="120" t="str">
        <f>"blůza montérková"</f>
        <v>blůza montérková</v>
      </c>
      <c r="B30" s="136"/>
      <c r="C30" s="137"/>
      <c r="D30" s="110">
        <f t="shared" si="0"/>
        <v>0</v>
      </c>
      <c r="E30" s="110">
        <f t="shared" si="1"/>
        <v>0</v>
      </c>
      <c r="F30" s="121">
        <v>4</v>
      </c>
      <c r="G30" s="112">
        <f t="shared" si="2"/>
        <v>0</v>
      </c>
      <c r="H30" s="112">
        <f t="shared" si="3"/>
        <v>0</v>
      </c>
      <c r="I30" s="113">
        <f t="shared" si="4"/>
        <v>0</v>
      </c>
    </row>
    <row r="31" spans="1:9" ht="15">
      <c r="A31" s="120" t="str">
        <f>"kalhoty pracovní, lékařské, kalhoty 3/4"</f>
        <v>kalhoty pracovní, lékařské, kalhoty 3/4</v>
      </c>
      <c r="B31" s="136"/>
      <c r="C31" s="137"/>
      <c r="D31" s="110">
        <f t="shared" si="0"/>
        <v>0</v>
      </c>
      <c r="E31" s="110">
        <f t="shared" si="1"/>
        <v>0</v>
      </c>
      <c r="F31" s="121">
        <v>1172</v>
      </c>
      <c r="G31" s="112">
        <f t="shared" si="2"/>
        <v>0</v>
      </c>
      <c r="H31" s="112">
        <f t="shared" si="3"/>
        <v>0</v>
      </c>
      <c r="I31" s="113">
        <f t="shared" si="4"/>
        <v>0</v>
      </c>
    </row>
    <row r="32" spans="1:9" ht="15">
      <c r="A32" s="120" t="str">
        <f>"plášť pracovní, lékařský"</f>
        <v>plášť pracovní, lékařský</v>
      </c>
      <c r="B32" s="136"/>
      <c r="C32" s="137"/>
      <c r="D32" s="110">
        <f t="shared" si="0"/>
        <v>0</v>
      </c>
      <c r="E32" s="110">
        <f t="shared" si="1"/>
        <v>0</v>
      </c>
      <c r="F32" s="121">
        <v>186</v>
      </c>
      <c r="G32" s="112">
        <f t="shared" si="2"/>
        <v>0</v>
      </c>
      <c r="H32" s="112">
        <f t="shared" si="3"/>
        <v>0</v>
      </c>
      <c r="I32" s="113">
        <f t="shared" si="4"/>
        <v>0</v>
      </c>
    </row>
    <row r="33" spans="1:9" ht="15">
      <c r="A33" s="120" t="str">
        <f>"šaty sesterské"</f>
        <v>šaty sesterské</v>
      </c>
      <c r="B33" s="136"/>
      <c r="C33" s="137"/>
      <c r="D33" s="110">
        <f t="shared" si="0"/>
        <v>0</v>
      </c>
      <c r="E33" s="110">
        <f t="shared" si="1"/>
        <v>0</v>
      </c>
      <c r="F33" s="121">
        <v>118</v>
      </c>
      <c r="G33" s="112">
        <f t="shared" si="2"/>
        <v>0</v>
      </c>
      <c r="H33" s="112">
        <f t="shared" si="3"/>
        <v>0</v>
      </c>
      <c r="I33" s="113">
        <f t="shared" si="4"/>
        <v>0</v>
      </c>
    </row>
    <row r="34" spans="1:9" ht="15">
      <c r="A34" s="120" t="str">
        <f>"zástěra řeznická, cukrářská, do pasu"</f>
        <v>zástěra řeznická, cukrářská, do pasu</v>
      </c>
      <c r="B34" s="136"/>
      <c r="C34" s="137"/>
      <c r="D34" s="110">
        <f t="shared" si="0"/>
        <v>0</v>
      </c>
      <c r="E34" s="110">
        <f t="shared" si="1"/>
        <v>0</v>
      </c>
      <c r="F34" s="121">
        <v>5</v>
      </c>
      <c r="G34" s="112">
        <f t="shared" si="2"/>
        <v>0</v>
      </c>
      <c r="H34" s="112">
        <f t="shared" si="3"/>
        <v>0</v>
      </c>
      <c r="I34" s="113">
        <f t="shared" si="4"/>
        <v>0</v>
      </c>
    </row>
    <row r="35" spans="1:9" ht="15">
      <c r="A35" s="120" t="str">
        <f>"zástěra šatová, sesterská, sukně"</f>
        <v>zástěra šatová, sesterská, sukně</v>
      </c>
      <c r="B35" s="136"/>
      <c r="C35" s="137"/>
      <c r="D35" s="110">
        <f t="shared" si="0"/>
        <v>0</v>
      </c>
      <c r="E35" s="110">
        <f t="shared" si="1"/>
        <v>0</v>
      </c>
      <c r="F35" s="121">
        <v>5</v>
      </c>
      <c r="G35" s="112">
        <f t="shared" si="2"/>
        <v>0</v>
      </c>
      <c r="H35" s="112">
        <f t="shared" si="3"/>
        <v>0</v>
      </c>
      <c r="I35" s="113">
        <f t="shared" si="4"/>
        <v>0</v>
      </c>
    </row>
    <row r="36" spans="1:9" ht="15">
      <c r="A36" s="120" t="str">
        <f>"triko, nátělník"</f>
        <v>triko, nátělník</v>
      </c>
      <c r="B36" s="136"/>
      <c r="C36" s="137"/>
      <c r="D36" s="110">
        <f t="shared" si="0"/>
        <v>0</v>
      </c>
      <c r="E36" s="110">
        <f t="shared" si="1"/>
        <v>0</v>
      </c>
      <c r="F36" s="121">
        <v>288</v>
      </c>
      <c r="G36" s="112">
        <f t="shared" si="2"/>
        <v>0</v>
      </c>
      <c r="H36" s="112">
        <f t="shared" si="3"/>
        <v>0</v>
      </c>
      <c r="I36" s="113">
        <f t="shared" si="4"/>
        <v>0</v>
      </c>
    </row>
    <row r="37" spans="1:9" ht="15">
      <c r="A37" s="120" t="str">
        <f>"sportovní oblečení - mikina, tepláky, teplák.bunda"</f>
        <v>sportovní oblečení - mikina, tepláky, teplák.bunda</v>
      </c>
      <c r="B37" s="136"/>
      <c r="C37" s="137"/>
      <c r="D37" s="110">
        <f t="shared" si="0"/>
        <v>0</v>
      </c>
      <c r="E37" s="110">
        <f t="shared" si="1"/>
        <v>0</v>
      </c>
      <c r="F37" s="121">
        <v>19</v>
      </c>
      <c r="G37" s="112">
        <f t="shared" si="2"/>
        <v>0</v>
      </c>
      <c r="H37" s="112">
        <f t="shared" si="3"/>
        <v>0</v>
      </c>
      <c r="I37" s="113">
        <f t="shared" si="4"/>
        <v>0</v>
      </c>
    </row>
    <row r="38" spans="1:9" ht="15">
      <c r="A38" s="120" t="str">
        <f>"praní mopů za 1 kg"</f>
        <v>praní mopů za 1 kg</v>
      </c>
      <c r="B38" s="136"/>
      <c r="C38" s="137"/>
      <c r="D38" s="110">
        <f t="shared" si="0"/>
        <v>0</v>
      </c>
      <c r="E38" s="110">
        <f t="shared" si="1"/>
        <v>0</v>
      </c>
      <c r="F38" s="121">
        <v>4412</v>
      </c>
      <c r="G38" s="112">
        <f t="shared" si="2"/>
        <v>0</v>
      </c>
      <c r="H38" s="112">
        <f t="shared" si="3"/>
        <v>0</v>
      </c>
      <c r="I38" s="113">
        <f t="shared" si="4"/>
        <v>0</v>
      </c>
    </row>
    <row r="39" spans="1:9" ht="15">
      <c r="A39" s="120" t="str">
        <f>"pytel malý"</f>
        <v>pytel malý</v>
      </c>
      <c r="B39" s="136"/>
      <c r="C39" s="137"/>
      <c r="D39" s="110">
        <f t="shared" si="0"/>
        <v>0</v>
      </c>
      <c r="E39" s="110">
        <f t="shared" si="1"/>
        <v>0</v>
      </c>
      <c r="F39" s="121">
        <v>13</v>
      </c>
      <c r="G39" s="112">
        <f t="shared" si="2"/>
        <v>0</v>
      </c>
      <c r="H39" s="112">
        <f t="shared" si="3"/>
        <v>0</v>
      </c>
      <c r="I39" s="113">
        <f t="shared" si="4"/>
        <v>0</v>
      </c>
    </row>
    <row r="40" spans="1:9" ht="15">
      <c r="A40" s="120" t="str">
        <f>"oprava prádla za 1 hodinu práce"</f>
        <v>oprava prádla za 1 hodinu práce</v>
      </c>
      <c r="B40" s="136"/>
      <c r="C40" s="137"/>
      <c r="D40" s="110">
        <f t="shared" si="0"/>
        <v>0</v>
      </c>
      <c r="E40" s="110">
        <f t="shared" si="1"/>
        <v>0</v>
      </c>
      <c r="F40" s="121">
        <v>2</v>
      </c>
      <c r="G40" s="112">
        <f t="shared" si="2"/>
        <v>0</v>
      </c>
      <c r="H40" s="112">
        <f t="shared" si="3"/>
        <v>0</v>
      </c>
      <c r="I40" s="113">
        <f t="shared" si="4"/>
        <v>0</v>
      </c>
    </row>
    <row r="41" spans="1:9" ht="15">
      <c r="A41" s="120" t="str">
        <f>"balení"</f>
        <v>balení</v>
      </c>
      <c r="B41" s="136"/>
      <c r="C41" s="137"/>
      <c r="D41" s="110">
        <f t="shared" si="0"/>
        <v>0</v>
      </c>
      <c r="E41" s="110">
        <f t="shared" si="1"/>
        <v>0</v>
      </c>
      <c r="F41" s="121">
        <v>2637</v>
      </c>
      <c r="G41" s="112">
        <f t="shared" si="2"/>
        <v>0</v>
      </c>
      <c r="H41" s="112">
        <f t="shared" si="3"/>
        <v>0</v>
      </c>
      <c r="I41" s="113">
        <f t="shared" si="4"/>
        <v>0</v>
      </c>
    </row>
    <row r="42" spans="1:9" ht="15">
      <c r="A42" s="120" t="str">
        <f>"závěs malý (do 6m2)"</f>
        <v>závěs malý (do 6m2)</v>
      </c>
      <c r="B42" s="136"/>
      <c r="C42" s="137"/>
      <c r="D42" s="110">
        <f t="shared" si="0"/>
        <v>0</v>
      </c>
      <c r="E42" s="110">
        <f t="shared" si="1"/>
        <v>0</v>
      </c>
      <c r="F42" s="121">
        <v>10</v>
      </c>
      <c r="G42" s="112">
        <f t="shared" si="2"/>
        <v>0</v>
      </c>
      <c r="H42" s="112">
        <f t="shared" si="3"/>
        <v>0</v>
      </c>
      <c r="I42" s="113">
        <f t="shared" si="4"/>
        <v>0</v>
      </c>
    </row>
    <row r="43" spans="1:9" ht="15">
      <c r="A43" s="120" t="str">
        <f>"kalhoty všech druhů, sako všech druhů"</f>
        <v>kalhoty všech druhů, sako všech druhů</v>
      </c>
      <c r="B43" s="136"/>
      <c r="C43" s="137"/>
      <c r="D43" s="110">
        <f t="shared" si="0"/>
        <v>0</v>
      </c>
      <c r="E43" s="110">
        <f t="shared" si="1"/>
        <v>0</v>
      </c>
      <c r="F43" s="121">
        <v>5</v>
      </c>
      <c r="G43" s="112">
        <f t="shared" si="2"/>
        <v>0</v>
      </c>
      <c r="H43" s="112">
        <f t="shared" si="3"/>
        <v>0</v>
      </c>
      <c r="I43" s="113">
        <f t="shared" si="4"/>
        <v>0</v>
      </c>
    </row>
    <row r="44" spans="1:9" ht="15">
      <c r="A44" s="120" t="str">
        <f>"bunda bez podšívky, bunda do pasu"</f>
        <v>bunda bez podšívky, bunda do pasu</v>
      </c>
      <c r="B44" s="136"/>
      <c r="C44" s="137"/>
      <c r="D44" s="110">
        <f t="shared" si="0"/>
        <v>0</v>
      </c>
      <c r="E44" s="110">
        <f t="shared" si="1"/>
        <v>0</v>
      </c>
      <c r="F44" s="121">
        <v>5</v>
      </c>
      <c r="G44" s="112">
        <f t="shared" si="2"/>
        <v>0</v>
      </c>
      <c r="H44" s="112">
        <f t="shared" si="3"/>
        <v>0</v>
      </c>
      <c r="I44" s="113">
        <f t="shared" si="4"/>
        <v>0</v>
      </c>
    </row>
    <row r="45" spans="1:9" ht="15">
      <c r="A45" s="120" t="str">
        <f>"bunda pod pas, bunda s podšívkou"</f>
        <v>bunda pod pas, bunda s podšívkou</v>
      </c>
      <c r="B45" s="136"/>
      <c r="C45" s="137"/>
      <c r="D45" s="110">
        <f t="shared" si="0"/>
        <v>0</v>
      </c>
      <c r="E45" s="110">
        <f t="shared" si="1"/>
        <v>0</v>
      </c>
      <c r="F45" s="121">
        <v>1</v>
      </c>
      <c r="G45" s="112">
        <f t="shared" si="2"/>
        <v>0</v>
      </c>
      <c r="H45" s="112">
        <f t="shared" si="3"/>
        <v>0</v>
      </c>
      <c r="I45" s="113">
        <f t="shared" si="4"/>
        <v>0</v>
      </c>
    </row>
    <row r="46" spans="1:9" ht="15">
      <c r="A46" s="120" t="str">
        <f>"ortézy"</f>
        <v>ortézy</v>
      </c>
      <c r="B46" s="136"/>
      <c r="C46" s="137"/>
      <c r="D46" s="110">
        <f t="shared" si="0"/>
        <v>0</v>
      </c>
      <c r="E46" s="110">
        <f t="shared" si="1"/>
        <v>0</v>
      </c>
      <c r="F46" s="121">
        <v>9</v>
      </c>
      <c r="G46" s="112">
        <f t="shared" si="2"/>
        <v>0</v>
      </c>
      <c r="H46" s="112">
        <f t="shared" si="3"/>
        <v>0</v>
      </c>
      <c r="I46" s="113">
        <f t="shared" si="4"/>
        <v>0</v>
      </c>
    </row>
    <row r="47" spans="1:9" ht="15">
      <c r="A47" s="120" t="str">
        <f>"přikrývka(deka)"</f>
        <v>přikrývka(deka)</v>
      </c>
      <c r="B47" s="136"/>
      <c r="C47" s="137"/>
      <c r="D47" s="110">
        <f t="shared" si="0"/>
        <v>0</v>
      </c>
      <c r="E47" s="110">
        <f t="shared" si="1"/>
        <v>0</v>
      </c>
      <c r="F47" s="121">
        <v>1</v>
      </c>
      <c r="G47" s="112">
        <f t="shared" si="2"/>
        <v>0</v>
      </c>
      <c r="H47" s="112">
        <f t="shared" si="3"/>
        <v>0</v>
      </c>
      <c r="I47" s="113">
        <f t="shared" si="4"/>
        <v>0</v>
      </c>
    </row>
    <row r="48" spans="1:9" ht="15">
      <c r="A48" s="120" t="str">
        <f>"deka prošívaná malá"</f>
        <v>deka prošívaná malá</v>
      </c>
      <c r="B48" s="136"/>
      <c r="C48" s="137"/>
      <c r="D48" s="110">
        <f t="shared" si="0"/>
        <v>0</v>
      </c>
      <c r="E48" s="110">
        <f t="shared" si="1"/>
        <v>0</v>
      </c>
      <c r="F48" s="121">
        <v>12</v>
      </c>
      <c r="G48" s="112">
        <f t="shared" si="2"/>
        <v>0</v>
      </c>
      <c r="H48" s="112">
        <f t="shared" si="3"/>
        <v>0</v>
      </c>
      <c r="I48" s="113">
        <f t="shared" si="4"/>
        <v>0</v>
      </c>
    </row>
    <row r="49" spans="1:9" ht="15">
      <c r="A49" s="120" t="str">
        <f>"polštář malý prošívaný"</f>
        <v>polštář malý prošívaný</v>
      </c>
      <c r="B49" s="136"/>
      <c r="C49" s="137"/>
      <c r="D49" s="110">
        <f t="shared" si="0"/>
        <v>0</v>
      </c>
      <c r="E49" s="110">
        <f t="shared" si="1"/>
        <v>0</v>
      </c>
      <c r="F49" s="121">
        <v>4</v>
      </c>
      <c r="G49" s="112">
        <f t="shared" si="2"/>
        <v>0</v>
      </c>
      <c r="H49" s="112">
        <f t="shared" si="3"/>
        <v>0</v>
      </c>
      <c r="I49" s="113">
        <f t="shared" si="4"/>
        <v>0</v>
      </c>
    </row>
    <row r="50" spans="1:9" ht="15">
      <c r="A50" s="120" t="str">
        <f>"polštář velký prošívaný"</f>
        <v>polštář velký prošívaný</v>
      </c>
      <c r="B50" s="136"/>
      <c r="C50" s="137"/>
      <c r="D50" s="110">
        <f t="shared" si="0"/>
        <v>0</v>
      </c>
      <c r="E50" s="110">
        <f t="shared" si="1"/>
        <v>0</v>
      </c>
      <c r="F50" s="121">
        <v>665</v>
      </c>
      <c r="G50" s="112">
        <f t="shared" si="2"/>
        <v>0</v>
      </c>
      <c r="H50" s="112">
        <f t="shared" si="3"/>
        <v>0</v>
      </c>
      <c r="I50" s="113">
        <f t="shared" si="4"/>
        <v>0</v>
      </c>
    </row>
    <row r="51" spans="1:9" ht="15">
      <c r="A51" s="120" t="str">
        <f>"přikrývka prošívaná velká"</f>
        <v>přikrývka prošívaná velká</v>
      </c>
      <c r="B51" s="136"/>
      <c r="C51" s="137"/>
      <c r="D51" s="110">
        <f t="shared" si="0"/>
        <v>0</v>
      </c>
      <c r="E51" s="110">
        <f t="shared" si="1"/>
        <v>0</v>
      </c>
      <c r="F51" s="121">
        <v>956</v>
      </c>
      <c r="G51" s="112">
        <f t="shared" si="2"/>
        <v>0</v>
      </c>
      <c r="H51" s="112">
        <f t="shared" si="3"/>
        <v>0</v>
      </c>
      <c r="I51" s="113">
        <f t="shared" si="4"/>
        <v>0</v>
      </c>
    </row>
    <row r="52" spans="1:9" ht="15">
      <c r="A52" s="120" t="str">
        <f>"molitan malý, polštář malý"</f>
        <v>molitan malý, polštář malý</v>
      </c>
      <c r="B52" s="136"/>
      <c r="C52" s="137"/>
      <c r="D52" s="110">
        <f t="shared" si="0"/>
        <v>0</v>
      </c>
      <c r="E52" s="110">
        <f t="shared" si="1"/>
        <v>0</v>
      </c>
      <c r="F52" s="121">
        <v>15</v>
      </c>
      <c r="G52" s="112">
        <f t="shared" si="2"/>
        <v>0</v>
      </c>
      <c r="H52" s="112">
        <f t="shared" si="3"/>
        <v>0</v>
      </c>
      <c r="I52" s="113">
        <f t="shared" si="4"/>
        <v>0</v>
      </c>
    </row>
    <row r="53" spans="1:9" ht="15">
      <c r="A53" s="120" t="str">
        <f>"spací pytel obyč"</f>
        <v>spací pytel obyč</v>
      </c>
      <c r="B53" s="136"/>
      <c r="C53" s="137"/>
      <c r="D53" s="110">
        <f t="shared" si="0"/>
        <v>0</v>
      </c>
      <c r="E53" s="110">
        <f t="shared" si="1"/>
        <v>0</v>
      </c>
      <c r="F53" s="121">
        <v>5</v>
      </c>
      <c r="G53" s="112">
        <f t="shared" si="2"/>
        <v>0</v>
      </c>
      <c r="H53" s="112">
        <f t="shared" si="3"/>
        <v>0</v>
      </c>
      <c r="I53" s="113">
        <f t="shared" si="4"/>
        <v>0</v>
      </c>
    </row>
    <row r="54" spans="1:9" ht="15">
      <c r="A54" s="120" t="str">
        <f>"péřový polštář"</f>
        <v>péřový polštář</v>
      </c>
      <c r="B54" s="136"/>
      <c r="C54" s="137"/>
      <c r="D54" s="110">
        <f t="shared" si="0"/>
        <v>0</v>
      </c>
      <c r="E54" s="110">
        <f t="shared" si="1"/>
        <v>0</v>
      </c>
      <c r="F54" s="121">
        <v>19</v>
      </c>
      <c r="G54" s="112">
        <f t="shared" si="2"/>
        <v>0</v>
      </c>
      <c r="H54" s="112">
        <f t="shared" si="3"/>
        <v>0</v>
      </c>
      <c r="I54" s="113">
        <f t="shared" si="4"/>
        <v>0</v>
      </c>
    </row>
    <row r="55" spans="1:9" ht="15.75" thickBot="1">
      <c r="A55" s="34" t="str">
        <f>"péřová proš.přikrývka, péřový spací pytel"</f>
        <v>péřová proš.přikrývka, péřový spací pytel</v>
      </c>
      <c r="B55" s="90"/>
      <c r="C55" s="89"/>
      <c r="D55" s="20">
        <f t="shared" si="0"/>
        <v>0</v>
      </c>
      <c r="E55" s="20">
        <f t="shared" si="1"/>
        <v>0</v>
      </c>
      <c r="F55" s="23">
        <v>2</v>
      </c>
      <c r="G55" s="21">
        <f t="shared" si="2"/>
        <v>0</v>
      </c>
      <c r="H55" s="21">
        <f t="shared" si="3"/>
        <v>0</v>
      </c>
      <c r="I55" s="22">
        <f t="shared" si="4"/>
        <v>0</v>
      </c>
    </row>
    <row r="56" spans="1:9" s="11" customFormat="1" ht="15.75" thickBot="1">
      <c r="A56" s="163" t="s">
        <v>26</v>
      </c>
      <c r="B56" s="164"/>
      <c r="C56" s="164"/>
      <c r="D56" s="164"/>
      <c r="E56" s="164"/>
      <c r="F56" s="165"/>
      <c r="G56" s="85">
        <f>SUM(G5:G55)</f>
        <v>0</v>
      </c>
      <c r="H56" s="85">
        <f aca="true" t="shared" si="5" ref="H56:I56">SUM(H5:H55)</f>
        <v>0</v>
      </c>
      <c r="I56" s="102">
        <f t="shared" si="5"/>
        <v>0</v>
      </c>
    </row>
    <row r="57" spans="1:9" ht="15.75" thickBot="1">
      <c r="A57" s="153" t="s">
        <v>27</v>
      </c>
      <c r="B57" s="154"/>
      <c r="C57" s="154"/>
      <c r="D57" s="154"/>
      <c r="E57" s="154"/>
      <c r="F57" s="155"/>
      <c r="G57" s="10">
        <f>G56*4</f>
        <v>0</v>
      </c>
      <c r="H57" s="86">
        <f aca="true" t="shared" si="6" ref="H57:I57">H56*4</f>
        <v>0</v>
      </c>
      <c r="I57" s="87">
        <f t="shared" si="6"/>
        <v>0</v>
      </c>
    </row>
    <row r="58" ht="54.75" customHeight="1"/>
    <row r="59" ht="15">
      <c r="A59" t="s">
        <v>13</v>
      </c>
    </row>
    <row r="60" ht="93.75" customHeight="1"/>
    <row r="61" ht="15">
      <c r="A61" t="s">
        <v>14</v>
      </c>
    </row>
    <row r="62" ht="15">
      <c r="A62" s="51" t="s">
        <v>43</v>
      </c>
    </row>
  </sheetData>
  <mergeCells count="3">
    <mergeCell ref="A2:I2"/>
    <mergeCell ref="A56:F56"/>
    <mergeCell ref="A57:F5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tabSelected="1" view="pageBreakPreview" zoomScaleSheetLayoutView="100" workbookViewId="0" topLeftCell="A1"/>
  </sheetViews>
  <sheetFormatPr defaultColWidth="9.140625" defaultRowHeight="15"/>
  <cols>
    <col min="1" max="1" width="30.8515625" style="25" customWidth="1"/>
    <col min="2" max="2" width="21.421875" style="25" customWidth="1"/>
    <col min="3" max="3" width="10.00390625" style="25" customWidth="1"/>
    <col min="4" max="4" width="7.421875" style="25" customWidth="1"/>
    <col min="5" max="5" width="9.140625" style="25" customWidth="1"/>
    <col min="6" max="6" width="8.28125" style="25" customWidth="1"/>
    <col min="7" max="7" width="10.7109375" style="25" customWidth="1"/>
    <col min="8" max="8" width="9.140625" style="25" customWidth="1"/>
    <col min="9" max="9" width="10.28125" style="25" customWidth="1"/>
    <col min="10" max="16384" width="9.140625" style="25" customWidth="1"/>
  </cols>
  <sheetData>
    <row r="1" ht="15.75">
      <c r="A1" s="101" t="s">
        <v>42</v>
      </c>
    </row>
    <row r="2" spans="1:9" ht="60" customHeight="1">
      <c r="A2" s="176" t="s">
        <v>35</v>
      </c>
      <c r="B2" s="176"/>
      <c r="C2" s="176"/>
      <c r="D2" s="176"/>
      <c r="E2" s="176"/>
      <c r="F2" s="176"/>
      <c r="G2" s="176"/>
      <c r="H2" s="176"/>
      <c r="I2" s="176"/>
    </row>
    <row r="3" ht="55.5" customHeight="1" thickBot="1"/>
    <row r="4" spans="1:9" ht="96" customHeight="1" thickBot="1">
      <c r="A4" s="37" t="s">
        <v>15</v>
      </c>
      <c r="B4" s="88" t="s">
        <v>41</v>
      </c>
      <c r="C4" s="32" t="s">
        <v>4</v>
      </c>
      <c r="D4" s="32" t="s">
        <v>28</v>
      </c>
      <c r="E4" s="32" t="s">
        <v>32</v>
      </c>
      <c r="F4" s="32" t="s">
        <v>5</v>
      </c>
      <c r="G4" s="32" t="s">
        <v>24</v>
      </c>
      <c r="H4" s="32" t="s">
        <v>29</v>
      </c>
      <c r="I4" s="33" t="s">
        <v>25</v>
      </c>
    </row>
    <row r="5" spans="1:9" ht="15.75" thickBot="1">
      <c r="A5" s="172" t="s">
        <v>16</v>
      </c>
      <c r="B5" s="173"/>
      <c r="C5" s="174"/>
      <c r="D5" s="174"/>
      <c r="E5" s="174"/>
      <c r="F5" s="174"/>
      <c r="G5" s="174"/>
      <c r="H5" s="174"/>
      <c r="I5" s="175"/>
    </row>
    <row r="6" spans="1:9" ht="15.75" thickBot="1">
      <c r="A6" s="47" t="s">
        <v>17</v>
      </c>
      <c r="B6" s="91"/>
      <c r="C6" s="92"/>
      <c r="D6" s="40">
        <f>C6*0.21</f>
        <v>0</v>
      </c>
      <c r="E6" s="40">
        <f>ROUND(C6+D6,2)</f>
        <v>0</v>
      </c>
      <c r="F6" s="43">
        <v>200</v>
      </c>
      <c r="G6" s="41">
        <f>F6*C6</f>
        <v>0</v>
      </c>
      <c r="H6" s="41">
        <f>G6*0.21</f>
        <v>0</v>
      </c>
      <c r="I6" s="41">
        <f>ROUND(G6+H6,2)</f>
        <v>0</v>
      </c>
    </row>
    <row r="7" spans="1:9" ht="15.75" thickBot="1">
      <c r="A7" s="172" t="s">
        <v>18</v>
      </c>
      <c r="B7" s="173"/>
      <c r="C7" s="174"/>
      <c r="D7" s="174"/>
      <c r="E7" s="174"/>
      <c r="F7" s="174"/>
      <c r="G7" s="174"/>
      <c r="H7" s="174"/>
      <c r="I7" s="175"/>
    </row>
    <row r="8" spans="1:9" ht="15">
      <c r="A8" s="48" t="s">
        <v>19</v>
      </c>
      <c r="B8" s="93"/>
      <c r="C8" s="94"/>
      <c r="D8" s="38">
        <f>C8*0.21</f>
        <v>0</v>
      </c>
      <c r="E8" s="38">
        <f>ROUND(C8+D8,2)</f>
        <v>0</v>
      </c>
      <c r="F8" s="44">
        <v>200</v>
      </c>
      <c r="G8" s="39">
        <f>F8*C8</f>
        <v>0</v>
      </c>
      <c r="H8" s="39">
        <f>G8*0.21</f>
        <v>0</v>
      </c>
      <c r="I8" s="42">
        <f>ROUND(G8+H8,2)</f>
        <v>0</v>
      </c>
    </row>
    <row r="9" spans="1:9" ht="15">
      <c r="A9" s="49" t="s">
        <v>20</v>
      </c>
      <c r="B9" s="95"/>
      <c r="C9" s="96"/>
      <c r="D9" s="26">
        <f>C9*0.21</f>
        <v>0</v>
      </c>
      <c r="E9" s="26">
        <f>ROUND(C9+D9,2)</f>
        <v>0</v>
      </c>
      <c r="F9" s="45">
        <v>1000</v>
      </c>
      <c r="G9" s="27">
        <f>F9*C9</f>
        <v>0</v>
      </c>
      <c r="H9" s="27">
        <f>G9*0.21</f>
        <v>0</v>
      </c>
      <c r="I9" s="28">
        <f>ROUND(G9+H9,2)</f>
        <v>0</v>
      </c>
    </row>
    <row r="10" spans="1:9" ht="15">
      <c r="A10" s="49" t="s">
        <v>21</v>
      </c>
      <c r="B10" s="95"/>
      <c r="C10" s="96"/>
      <c r="D10" s="26">
        <f aca="true" t="shared" si="0" ref="D10:D12">C10*0.21</f>
        <v>0</v>
      </c>
      <c r="E10" s="26">
        <f>ROUND(C10+D10,2)</f>
        <v>0</v>
      </c>
      <c r="F10" s="45">
        <v>1000</v>
      </c>
      <c r="G10" s="27">
        <f>F10*C10</f>
        <v>0</v>
      </c>
      <c r="H10" s="27">
        <f>G10*0.21</f>
        <v>0</v>
      </c>
      <c r="I10" s="28">
        <f>ROUND(G10+H10,2)</f>
        <v>0</v>
      </c>
    </row>
    <row r="11" spans="1:9" ht="15">
      <c r="A11" s="49" t="s">
        <v>22</v>
      </c>
      <c r="B11" s="95"/>
      <c r="C11" s="96"/>
      <c r="D11" s="26">
        <f t="shared" si="0"/>
        <v>0</v>
      </c>
      <c r="E11" s="26">
        <f>ROUND(C11+D11,2)</f>
        <v>0</v>
      </c>
      <c r="F11" s="45">
        <v>1300</v>
      </c>
      <c r="G11" s="27">
        <f>F11*C11</f>
        <v>0</v>
      </c>
      <c r="H11" s="27">
        <f>G11*0.21</f>
        <v>0</v>
      </c>
      <c r="I11" s="28">
        <f>ROUND(G11+H11,2)</f>
        <v>0</v>
      </c>
    </row>
    <row r="12" spans="1:9" ht="15.75" thickBot="1">
      <c r="A12" s="50" t="s">
        <v>23</v>
      </c>
      <c r="B12" s="97"/>
      <c r="C12" s="98"/>
      <c r="D12" s="26">
        <f t="shared" si="0"/>
        <v>0</v>
      </c>
      <c r="E12" s="29">
        <f>ROUND(C12+D12,2)</f>
        <v>0</v>
      </c>
      <c r="F12" s="46">
        <v>2000</v>
      </c>
      <c r="G12" s="30">
        <f>F12*C12</f>
        <v>0</v>
      </c>
      <c r="H12" s="30">
        <f>G12*0.21</f>
        <v>0</v>
      </c>
      <c r="I12" s="31">
        <f>ROUND(G12+H12,2)</f>
        <v>0</v>
      </c>
    </row>
    <row r="13" spans="1:9" s="35" customFormat="1" ht="16.5" thickBot="1">
      <c r="A13" s="169" t="s">
        <v>30</v>
      </c>
      <c r="B13" s="170"/>
      <c r="C13" s="170"/>
      <c r="D13" s="170"/>
      <c r="E13" s="170"/>
      <c r="F13" s="171"/>
      <c r="G13" s="99">
        <f>SUM(G6:G12)</f>
        <v>0</v>
      </c>
      <c r="H13" s="99">
        <f aca="true" t="shared" si="1" ref="H13:I13">SUM(H6:H12)</f>
        <v>0</v>
      </c>
      <c r="I13" s="99">
        <f t="shared" si="1"/>
        <v>0</v>
      </c>
    </row>
    <row r="14" spans="1:9" ht="16.5" thickBot="1">
      <c r="A14" s="166" t="s">
        <v>31</v>
      </c>
      <c r="B14" s="167"/>
      <c r="C14" s="167"/>
      <c r="D14" s="167"/>
      <c r="E14" s="167"/>
      <c r="F14" s="168"/>
      <c r="G14" s="36">
        <f>G13*4</f>
        <v>0</v>
      </c>
      <c r="H14" s="100">
        <f aca="true" t="shared" si="2" ref="H14:I14">H13*4</f>
        <v>0</v>
      </c>
      <c r="I14" s="100">
        <f t="shared" si="2"/>
        <v>0</v>
      </c>
    </row>
    <row r="16" ht="45.75" customHeight="1">
      <c r="A16" s="25" t="s">
        <v>13</v>
      </c>
    </row>
    <row r="17" ht="90.75" customHeight="1">
      <c r="A17" s="25" t="s">
        <v>14</v>
      </c>
    </row>
    <row r="18" ht="15">
      <c r="A18" s="51" t="s">
        <v>43</v>
      </c>
    </row>
  </sheetData>
  <sheetProtection algorithmName="SHA-512" hashValue="CvxaxZHaDSqrnWUkh2a7fvY7AZQqNjb6Syaf4Hx/N8Abx3eRJH/Jb7shK9jdoKw7Q7fJYuG13EWNEhSbNqRsYA==" saltValue="aP2eG0nr0Ysn3C7scI1hIA==" spinCount="100000" sheet="1" objects="1" scenarios="1"/>
  <mergeCells count="5">
    <mergeCell ref="A14:F14"/>
    <mergeCell ref="A13:F13"/>
    <mergeCell ref="A5:I5"/>
    <mergeCell ref="A7:I7"/>
    <mergeCell ref="A2:I2"/>
  </mergeCells>
  <printOptions/>
  <pageMargins left="0.7" right="0.7" top="0.787401575" bottom="0.7874015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jarda69bed@gmail.com</dc:creator>
  <cp:keywords/>
  <dc:description/>
  <cp:lastModifiedBy>Jaroslav Bednář</cp:lastModifiedBy>
  <cp:lastPrinted>2016-03-15T14:54:16Z</cp:lastPrinted>
  <dcterms:created xsi:type="dcterms:W3CDTF">2015-09-23T06:34:19Z</dcterms:created>
  <dcterms:modified xsi:type="dcterms:W3CDTF">2018-02-26T18:07:44Z</dcterms:modified>
  <cp:category/>
  <cp:version/>
  <cp:contentType/>
  <cp:contentStatus/>
</cp:coreProperties>
</file>