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75" windowWidth="19230" windowHeight="6135" activeTab="1"/>
  </bookViews>
  <sheets>
    <sheet name="Souhrnný rozpočet" sheetId="5" r:id="rId1"/>
    <sheet name="D1. Technologie" sheetId="7" r:id="rId2"/>
    <sheet name="D2. MaR" sheetId="6" r:id="rId3"/>
    <sheet name="List2" sheetId="8" r:id="rId4"/>
  </sheets>
  <definedNames>
    <definedName name="_xlnm._FilterDatabase" localSheetId="1" hidden="1">'D1. Technologie'!$A$11:$AK$362</definedName>
    <definedName name="_xlnm.Print_Titles" localSheetId="2">'D2. MaR'!$1:$2</definedName>
    <definedName name="_xlnm.Print_Area" localSheetId="1">'D1. Technologie'!$A$1:$L$362</definedName>
    <definedName name="_xlnm.Print_Area" localSheetId="2">'D2. MaR'!$A$1:$F$97</definedName>
    <definedName name="_xlnm.Print_Area" localSheetId="0">'Souhrnný rozpočet'!$A$1:$F$23</definedName>
  </definedNames>
  <calcPr calcId="145621"/>
</workbook>
</file>

<file path=xl/calcChain.xml><?xml version="1.0" encoding="utf-8"?>
<calcChain xmlns="http://schemas.openxmlformats.org/spreadsheetml/2006/main">
  <c r="F93" i="6" l="1"/>
  <c r="F92" i="6"/>
  <c r="F91" i="6"/>
  <c r="F90" i="6"/>
  <c r="F89" i="6"/>
  <c r="F88" i="6"/>
  <c r="F87" i="6"/>
  <c r="F86" i="6"/>
  <c r="F85" i="6"/>
  <c r="F84" i="6"/>
  <c r="F83" i="6"/>
  <c r="F82" i="6"/>
  <c r="F80" i="6" l="1"/>
  <c r="F79" i="6"/>
  <c r="R13" i="7" l="1"/>
  <c r="S13" i="7"/>
  <c r="V13" i="7"/>
  <c r="W13" i="7"/>
  <c r="X13" i="7"/>
  <c r="J14" i="7"/>
  <c r="L14" i="7"/>
  <c r="O14" i="7"/>
  <c r="Z14" i="7"/>
  <c r="AA14" i="7"/>
  <c r="AE14" i="7"/>
  <c r="AF14" i="7"/>
  <c r="J15" i="7"/>
  <c r="AB15" i="7" s="1"/>
  <c r="L15" i="7"/>
  <c r="O15" i="7"/>
  <c r="Z15" i="7"/>
  <c r="AA15" i="7"/>
  <c r="AE15" i="7"/>
  <c r="AF15" i="7"/>
  <c r="J16" i="7"/>
  <c r="AB16" i="7" s="1"/>
  <c r="L16" i="7"/>
  <c r="O16" i="7"/>
  <c r="Z16" i="7"/>
  <c r="AA16" i="7"/>
  <c r="AE16" i="7"/>
  <c r="AF16" i="7"/>
  <c r="J17" i="7"/>
  <c r="L17" i="7"/>
  <c r="O17" i="7"/>
  <c r="Z17" i="7"/>
  <c r="AA17" i="7"/>
  <c r="AE17" i="7"/>
  <c r="AF17" i="7"/>
  <c r="J18" i="7"/>
  <c r="L18" i="7"/>
  <c r="Z18" i="7"/>
  <c r="AA18" i="7"/>
  <c r="AB18" i="7"/>
  <c r="AE18" i="7"/>
  <c r="O18" i="7" s="1"/>
  <c r="AF18" i="7"/>
  <c r="R19" i="7"/>
  <c r="S19" i="7"/>
  <c r="V19" i="7"/>
  <c r="W19" i="7"/>
  <c r="X19" i="7"/>
  <c r="J20" i="7"/>
  <c r="AB20" i="7" s="1"/>
  <c r="L20" i="7"/>
  <c r="O20" i="7"/>
  <c r="Z20" i="7"/>
  <c r="AA20" i="7"/>
  <c r="AE20" i="7"/>
  <c r="AF20" i="7"/>
  <c r="J21" i="7"/>
  <c r="AB21" i="7" s="1"/>
  <c r="L21" i="7"/>
  <c r="O21" i="7"/>
  <c r="Z21" i="7"/>
  <c r="AA21" i="7"/>
  <c r="AE21" i="7"/>
  <c r="AF21" i="7"/>
  <c r="J22" i="7"/>
  <c r="L22" i="7"/>
  <c r="O22" i="7"/>
  <c r="Z22" i="7"/>
  <c r="AA22" i="7"/>
  <c r="AE22" i="7"/>
  <c r="AF22" i="7"/>
  <c r="J23" i="7"/>
  <c r="AB23" i="7" s="1"/>
  <c r="L23" i="7"/>
  <c r="O23" i="7"/>
  <c r="Z23" i="7"/>
  <c r="AA23" i="7"/>
  <c r="AE23" i="7"/>
  <c r="AF23" i="7"/>
  <c r="J24" i="7"/>
  <c r="AB24" i="7" s="1"/>
  <c r="L24" i="7"/>
  <c r="O24" i="7"/>
  <c r="Z24" i="7"/>
  <c r="AA24" i="7"/>
  <c r="AE24" i="7"/>
  <c r="AF24" i="7"/>
  <c r="J25" i="7"/>
  <c r="AB25" i="7" s="1"/>
  <c r="L25" i="7"/>
  <c r="O25" i="7"/>
  <c r="Z25" i="7"/>
  <c r="AA25" i="7"/>
  <c r="AE25" i="7"/>
  <c r="AF25" i="7"/>
  <c r="J26" i="7"/>
  <c r="L26" i="7"/>
  <c r="O26" i="7"/>
  <c r="Z26" i="7"/>
  <c r="AA26" i="7"/>
  <c r="AE26" i="7"/>
  <c r="AF26" i="7"/>
  <c r="J27" i="7"/>
  <c r="AB27" i="7" s="1"/>
  <c r="L27" i="7"/>
  <c r="O27" i="7"/>
  <c r="Z27" i="7"/>
  <c r="AA27" i="7"/>
  <c r="AE27" i="7"/>
  <c r="AF27" i="7"/>
  <c r="J28" i="7"/>
  <c r="AB28" i="7" s="1"/>
  <c r="L28" i="7"/>
  <c r="O28" i="7"/>
  <c r="Z28" i="7"/>
  <c r="AA28" i="7"/>
  <c r="AE28" i="7"/>
  <c r="AF28" i="7"/>
  <c r="J29" i="7"/>
  <c r="AB29" i="7" s="1"/>
  <c r="L29" i="7"/>
  <c r="O29" i="7"/>
  <c r="Z29" i="7"/>
  <c r="AA29" i="7"/>
  <c r="AE29" i="7"/>
  <c r="AF29" i="7"/>
  <c r="J30" i="7"/>
  <c r="L30" i="7"/>
  <c r="O30" i="7"/>
  <c r="Z30" i="7"/>
  <c r="AA30" i="7"/>
  <c r="AE30" i="7"/>
  <c r="AF30" i="7"/>
  <c r="J31" i="7"/>
  <c r="AB31" i="7" s="1"/>
  <c r="L31" i="7"/>
  <c r="O31" i="7"/>
  <c r="Z31" i="7"/>
  <c r="AA31" i="7"/>
  <c r="AE31" i="7"/>
  <c r="AF31" i="7"/>
  <c r="J32" i="7"/>
  <c r="AB32" i="7" s="1"/>
  <c r="L32" i="7"/>
  <c r="O32" i="7"/>
  <c r="Z32" i="7"/>
  <c r="AA32" i="7"/>
  <c r="AE32" i="7"/>
  <c r="AF32" i="7"/>
  <c r="J33" i="7"/>
  <c r="AB33" i="7" s="1"/>
  <c r="L33" i="7"/>
  <c r="O33" i="7"/>
  <c r="Z33" i="7"/>
  <c r="AA33" i="7"/>
  <c r="AE33" i="7"/>
  <c r="AF33" i="7"/>
  <c r="J34" i="7"/>
  <c r="L34" i="7"/>
  <c r="O34" i="7"/>
  <c r="Z34" i="7"/>
  <c r="AA34" i="7"/>
  <c r="AE34" i="7"/>
  <c r="AF34" i="7"/>
  <c r="J35" i="7"/>
  <c r="AB35" i="7" s="1"/>
  <c r="L35" i="7"/>
  <c r="O35" i="7"/>
  <c r="Z35" i="7"/>
  <c r="AA35" i="7"/>
  <c r="AE35" i="7"/>
  <c r="AF35" i="7"/>
  <c r="J36" i="7"/>
  <c r="AB36" i="7" s="1"/>
  <c r="L36" i="7"/>
  <c r="O36" i="7"/>
  <c r="Z36" i="7"/>
  <c r="AA36" i="7"/>
  <c r="AE36" i="7"/>
  <c r="AF36" i="7"/>
  <c r="J37" i="7"/>
  <c r="AB37" i="7" s="1"/>
  <c r="L37" i="7"/>
  <c r="O37" i="7"/>
  <c r="Z37" i="7"/>
  <c r="AA37" i="7"/>
  <c r="AE37" i="7"/>
  <c r="AF37" i="7"/>
  <c r="J38" i="7"/>
  <c r="L38" i="7"/>
  <c r="O38" i="7"/>
  <c r="Z38" i="7"/>
  <c r="AA38" i="7"/>
  <c r="AE38" i="7"/>
  <c r="AF38" i="7"/>
  <c r="J39" i="7"/>
  <c r="AB39" i="7" s="1"/>
  <c r="L39" i="7"/>
  <c r="O39" i="7"/>
  <c r="Z39" i="7"/>
  <c r="AA39" i="7"/>
  <c r="AE39" i="7"/>
  <c r="AF39" i="7"/>
  <c r="J40" i="7"/>
  <c r="AB40" i="7" s="1"/>
  <c r="L40" i="7"/>
  <c r="Z40" i="7"/>
  <c r="AA40" i="7"/>
  <c r="AE40" i="7"/>
  <c r="AF40" i="7"/>
  <c r="R42" i="7"/>
  <c r="S42" i="7"/>
  <c r="V42" i="7"/>
  <c r="W42" i="7"/>
  <c r="X42" i="7"/>
  <c r="J43" i="7"/>
  <c r="L43" i="7"/>
  <c r="O43" i="7"/>
  <c r="Z43" i="7"/>
  <c r="AA43" i="7"/>
  <c r="AE43" i="7"/>
  <c r="AF43" i="7"/>
  <c r="J44" i="7"/>
  <c r="AB44" i="7" s="1"/>
  <c r="L44" i="7"/>
  <c r="O44" i="7"/>
  <c r="Z44" i="7"/>
  <c r="AA44" i="7"/>
  <c r="AE44" i="7"/>
  <c r="AF44" i="7"/>
  <c r="J45" i="7"/>
  <c r="AB45" i="7" s="1"/>
  <c r="L45" i="7"/>
  <c r="O45" i="7"/>
  <c r="Z45" i="7"/>
  <c r="AA45" i="7"/>
  <c r="AE45" i="7"/>
  <c r="AF45" i="7"/>
  <c r="J46" i="7"/>
  <c r="AB46" i="7" s="1"/>
  <c r="L46" i="7"/>
  <c r="O46" i="7"/>
  <c r="Z46" i="7"/>
  <c r="AA46" i="7"/>
  <c r="AE46" i="7"/>
  <c r="AF46" i="7"/>
  <c r="J47" i="7"/>
  <c r="L47" i="7"/>
  <c r="O47" i="7"/>
  <c r="Z47" i="7"/>
  <c r="AA47" i="7"/>
  <c r="AE47" i="7"/>
  <c r="AF47" i="7"/>
  <c r="J48" i="7"/>
  <c r="AB48" i="7" s="1"/>
  <c r="L48" i="7"/>
  <c r="O48" i="7"/>
  <c r="Z48" i="7"/>
  <c r="AA48" i="7"/>
  <c r="AE48" i="7"/>
  <c r="AF48" i="7"/>
  <c r="J49" i="7"/>
  <c r="AB49" i="7" s="1"/>
  <c r="L49" i="7"/>
  <c r="O49" i="7"/>
  <c r="Z49" i="7"/>
  <c r="AA49" i="7"/>
  <c r="AE49" i="7"/>
  <c r="AF49" i="7"/>
  <c r="O50" i="7"/>
  <c r="J50" i="7"/>
  <c r="L50" i="7"/>
  <c r="Z50" i="7"/>
  <c r="AA50" i="7"/>
  <c r="AB50" i="7"/>
  <c r="AE50" i="7"/>
  <c r="AF50" i="7"/>
  <c r="R51" i="7"/>
  <c r="S51" i="7"/>
  <c r="V51" i="7"/>
  <c r="W51" i="7"/>
  <c r="X51" i="7"/>
  <c r="J52" i="7"/>
  <c r="L52" i="7"/>
  <c r="O52" i="7"/>
  <c r="Z52" i="7"/>
  <c r="AA52" i="7"/>
  <c r="AE52" i="7"/>
  <c r="AF52" i="7"/>
  <c r="J53" i="7"/>
  <c r="AB53" i="7" s="1"/>
  <c r="L53" i="7"/>
  <c r="O53" i="7"/>
  <c r="Z53" i="7"/>
  <c r="AA53" i="7"/>
  <c r="AE53" i="7"/>
  <c r="AF53" i="7"/>
  <c r="J54" i="7"/>
  <c r="AB54" i="7" s="1"/>
  <c r="L54" i="7"/>
  <c r="O54" i="7"/>
  <c r="Z54" i="7"/>
  <c r="AA54" i="7"/>
  <c r="AE54" i="7"/>
  <c r="AF54" i="7"/>
  <c r="J55" i="7"/>
  <c r="AB55" i="7" s="1"/>
  <c r="L55" i="7"/>
  <c r="O55" i="7"/>
  <c r="Z55" i="7"/>
  <c r="AA55" i="7"/>
  <c r="AE55" i="7"/>
  <c r="AF55" i="7"/>
  <c r="J56" i="7"/>
  <c r="L56" i="7"/>
  <c r="O56" i="7"/>
  <c r="Z56" i="7"/>
  <c r="AA56" i="7"/>
  <c r="AE56" i="7"/>
  <c r="AF56" i="7"/>
  <c r="J57" i="7"/>
  <c r="AB57" i="7" s="1"/>
  <c r="L57" i="7"/>
  <c r="O57" i="7"/>
  <c r="Z57" i="7"/>
  <c r="AA57" i="7"/>
  <c r="AE57" i="7"/>
  <c r="AF57" i="7"/>
  <c r="J58" i="7"/>
  <c r="AB58" i="7" s="1"/>
  <c r="L58" i="7"/>
  <c r="O58" i="7"/>
  <c r="Z58" i="7"/>
  <c r="AA58" i="7"/>
  <c r="AE58" i="7"/>
  <c r="AF58" i="7"/>
  <c r="J59" i="7"/>
  <c r="AB59" i="7" s="1"/>
  <c r="L59" i="7"/>
  <c r="O59" i="7"/>
  <c r="Z59" i="7"/>
  <c r="AA59" i="7"/>
  <c r="AE59" i="7"/>
  <c r="AF59" i="7"/>
  <c r="J60" i="7"/>
  <c r="L60" i="7"/>
  <c r="O60" i="7"/>
  <c r="Z60" i="7"/>
  <c r="AA60" i="7"/>
  <c r="AE60" i="7"/>
  <c r="AF60" i="7"/>
  <c r="J61" i="7"/>
  <c r="AB61" i="7" s="1"/>
  <c r="L61" i="7"/>
  <c r="O61" i="7"/>
  <c r="Z61" i="7"/>
  <c r="AA61" i="7"/>
  <c r="AE61" i="7"/>
  <c r="AF61" i="7"/>
  <c r="J62" i="7"/>
  <c r="AB62" i="7" s="1"/>
  <c r="L62" i="7"/>
  <c r="O62" i="7"/>
  <c r="Z62" i="7"/>
  <c r="AA62" i="7"/>
  <c r="AE62" i="7"/>
  <c r="AF62" i="7"/>
  <c r="J63" i="7"/>
  <c r="AB63" i="7" s="1"/>
  <c r="L63" i="7"/>
  <c r="O63" i="7"/>
  <c r="Z63" i="7"/>
  <c r="AA63" i="7"/>
  <c r="AE63" i="7"/>
  <c r="AF63" i="7"/>
  <c r="J64" i="7"/>
  <c r="L64" i="7"/>
  <c r="O64" i="7"/>
  <c r="Z64" i="7"/>
  <c r="AA64" i="7"/>
  <c r="AE64" i="7"/>
  <c r="AF64" i="7"/>
  <c r="J65" i="7"/>
  <c r="AB65" i="7" s="1"/>
  <c r="L65" i="7"/>
  <c r="O65" i="7"/>
  <c r="Z65" i="7"/>
  <c r="AA65" i="7"/>
  <c r="AE65" i="7"/>
  <c r="AF65" i="7"/>
  <c r="J66" i="7"/>
  <c r="AB66" i="7" s="1"/>
  <c r="L66" i="7"/>
  <c r="O66" i="7"/>
  <c r="Z66" i="7"/>
  <c r="AA66" i="7"/>
  <c r="AE66" i="7"/>
  <c r="AF66" i="7"/>
  <c r="J67" i="7"/>
  <c r="AB67" i="7" s="1"/>
  <c r="L67" i="7"/>
  <c r="O67" i="7"/>
  <c r="Z67" i="7"/>
  <c r="AA67" i="7"/>
  <c r="AE67" i="7"/>
  <c r="AF67" i="7"/>
  <c r="J68" i="7"/>
  <c r="L68" i="7"/>
  <c r="O68" i="7"/>
  <c r="Z68" i="7"/>
  <c r="AA68" i="7"/>
  <c r="AE68" i="7"/>
  <c r="AF68" i="7"/>
  <c r="J69" i="7"/>
  <c r="AB69" i="7" s="1"/>
  <c r="L69" i="7"/>
  <c r="O69" i="7"/>
  <c r="Z69" i="7"/>
  <c r="AA69" i="7"/>
  <c r="AE69" i="7"/>
  <c r="AF69" i="7"/>
  <c r="J70" i="7"/>
  <c r="AB70" i="7" s="1"/>
  <c r="L70" i="7"/>
  <c r="O70" i="7"/>
  <c r="Z70" i="7"/>
  <c r="AA70" i="7"/>
  <c r="AE70" i="7"/>
  <c r="AF70" i="7"/>
  <c r="J71" i="7"/>
  <c r="AB71" i="7" s="1"/>
  <c r="L71" i="7"/>
  <c r="O71" i="7"/>
  <c r="Z71" i="7"/>
  <c r="AA71" i="7"/>
  <c r="AE71" i="7"/>
  <c r="AF71" i="7"/>
  <c r="J72" i="7"/>
  <c r="L72" i="7"/>
  <c r="O72" i="7"/>
  <c r="Z72" i="7"/>
  <c r="AA72" i="7"/>
  <c r="AE72" i="7"/>
  <c r="AF72" i="7"/>
  <c r="J73" i="7"/>
  <c r="AB73" i="7" s="1"/>
  <c r="L73" i="7"/>
  <c r="O73" i="7"/>
  <c r="Z73" i="7"/>
  <c r="AA73" i="7"/>
  <c r="AE73" i="7"/>
  <c r="AF73" i="7"/>
  <c r="R75" i="7"/>
  <c r="S75" i="7"/>
  <c r="V75" i="7"/>
  <c r="W75" i="7"/>
  <c r="X75" i="7"/>
  <c r="J76" i="7"/>
  <c r="AB76" i="7" s="1"/>
  <c r="L76" i="7"/>
  <c r="O76" i="7"/>
  <c r="Z76" i="7"/>
  <c r="AA76" i="7"/>
  <c r="AE76" i="7"/>
  <c r="AF76" i="7"/>
  <c r="J77" i="7"/>
  <c r="L77" i="7"/>
  <c r="O77" i="7"/>
  <c r="Z77" i="7"/>
  <c r="AA77" i="7"/>
  <c r="AE77" i="7"/>
  <c r="AF77" i="7"/>
  <c r="J78" i="7"/>
  <c r="AB78" i="7" s="1"/>
  <c r="L78" i="7"/>
  <c r="O78" i="7"/>
  <c r="Z78" i="7"/>
  <c r="AA78" i="7"/>
  <c r="AE78" i="7"/>
  <c r="AF78" i="7"/>
  <c r="J79" i="7"/>
  <c r="L79" i="7"/>
  <c r="O79" i="7"/>
  <c r="Z79" i="7"/>
  <c r="AA79" i="7"/>
  <c r="AE79" i="7"/>
  <c r="AF79" i="7"/>
  <c r="J80" i="7"/>
  <c r="AB80" i="7" s="1"/>
  <c r="L80" i="7"/>
  <c r="O80" i="7"/>
  <c r="Z80" i="7"/>
  <c r="AA80" i="7"/>
  <c r="AE80" i="7"/>
  <c r="AF80" i="7"/>
  <c r="J81" i="7"/>
  <c r="AB81" i="7" s="1"/>
  <c r="L81" i="7"/>
  <c r="O81" i="7"/>
  <c r="Z81" i="7"/>
  <c r="AA81" i="7"/>
  <c r="AE81" i="7"/>
  <c r="AF81" i="7"/>
  <c r="J82" i="7"/>
  <c r="AB82" i="7" s="1"/>
  <c r="L82" i="7"/>
  <c r="O82" i="7"/>
  <c r="Z82" i="7"/>
  <c r="AA82" i="7"/>
  <c r="AE82" i="7"/>
  <c r="AF82" i="7"/>
  <c r="J83" i="7"/>
  <c r="L83" i="7"/>
  <c r="O83" i="7"/>
  <c r="Z83" i="7"/>
  <c r="AA83" i="7"/>
  <c r="AE83" i="7"/>
  <c r="AF83" i="7"/>
  <c r="J84" i="7"/>
  <c r="AB84" i="7" s="1"/>
  <c r="L84" i="7"/>
  <c r="O84" i="7"/>
  <c r="Z84" i="7"/>
  <c r="AA84" i="7"/>
  <c r="AE84" i="7"/>
  <c r="AF84" i="7"/>
  <c r="J85" i="7"/>
  <c r="AB85" i="7" s="1"/>
  <c r="L85" i="7"/>
  <c r="O85" i="7"/>
  <c r="Z85" i="7"/>
  <c r="AA85" i="7"/>
  <c r="AE85" i="7"/>
  <c r="AF85" i="7"/>
  <c r="J86" i="7"/>
  <c r="AB86" i="7" s="1"/>
  <c r="L86" i="7"/>
  <c r="O86" i="7"/>
  <c r="Z86" i="7"/>
  <c r="AA86" i="7"/>
  <c r="AE86" i="7"/>
  <c r="AF86" i="7"/>
  <c r="J87" i="7"/>
  <c r="L87" i="7"/>
  <c r="O87" i="7"/>
  <c r="Z87" i="7"/>
  <c r="AA87" i="7"/>
  <c r="AE87" i="7"/>
  <c r="AF87" i="7"/>
  <c r="O88" i="7"/>
  <c r="J88" i="7"/>
  <c r="L88" i="7"/>
  <c r="Z88" i="7"/>
  <c r="AA88" i="7"/>
  <c r="AB88" i="7"/>
  <c r="AE88" i="7"/>
  <c r="AF88" i="7"/>
  <c r="R89" i="7"/>
  <c r="S89" i="7"/>
  <c r="V89" i="7"/>
  <c r="W89" i="7"/>
  <c r="X89" i="7"/>
  <c r="J90" i="7"/>
  <c r="L90" i="7"/>
  <c r="O90" i="7"/>
  <c r="Z90" i="7"/>
  <c r="AA90" i="7"/>
  <c r="AE90" i="7"/>
  <c r="AF90" i="7"/>
  <c r="J91" i="7"/>
  <c r="L91" i="7"/>
  <c r="O91" i="7"/>
  <c r="Z91" i="7"/>
  <c r="AA91" i="7"/>
  <c r="AE91" i="7"/>
  <c r="AF91" i="7"/>
  <c r="J92" i="7"/>
  <c r="L92" i="7"/>
  <c r="O92" i="7"/>
  <c r="Z92" i="7"/>
  <c r="AA92" i="7"/>
  <c r="AE92" i="7"/>
  <c r="AF92" i="7"/>
  <c r="J93" i="7"/>
  <c r="L93" i="7"/>
  <c r="O93" i="7"/>
  <c r="Z93" i="7"/>
  <c r="AA93" i="7"/>
  <c r="AE93" i="7"/>
  <c r="AF93" i="7"/>
  <c r="J94" i="7"/>
  <c r="L94" i="7"/>
  <c r="Z94" i="7"/>
  <c r="AA94" i="7"/>
  <c r="AE94" i="7"/>
  <c r="AF94" i="7"/>
  <c r="R96" i="7"/>
  <c r="S96" i="7"/>
  <c r="V96" i="7"/>
  <c r="W96" i="7"/>
  <c r="X96" i="7"/>
  <c r="J97" i="7"/>
  <c r="AB97" i="7" s="1"/>
  <c r="L97" i="7"/>
  <c r="O97" i="7"/>
  <c r="Z97" i="7"/>
  <c r="AA97" i="7"/>
  <c r="AE97" i="7"/>
  <c r="AF97" i="7"/>
  <c r="J98" i="7"/>
  <c r="AB98" i="7" s="1"/>
  <c r="L98" i="7"/>
  <c r="O98" i="7"/>
  <c r="Z98" i="7"/>
  <c r="AA98" i="7"/>
  <c r="AE98" i="7"/>
  <c r="AF98" i="7"/>
  <c r="J99" i="7"/>
  <c r="AB99" i="7" s="1"/>
  <c r="L99" i="7"/>
  <c r="O99" i="7"/>
  <c r="Z99" i="7"/>
  <c r="AA99" i="7"/>
  <c r="AE99" i="7"/>
  <c r="AF99" i="7"/>
  <c r="J100" i="7"/>
  <c r="AB100" i="7" s="1"/>
  <c r="L100" i="7"/>
  <c r="O100" i="7"/>
  <c r="Z100" i="7"/>
  <c r="AA100" i="7"/>
  <c r="AE100" i="7"/>
  <c r="AF100" i="7"/>
  <c r="J101" i="7"/>
  <c r="AB101" i="7" s="1"/>
  <c r="L101" i="7"/>
  <c r="O101" i="7"/>
  <c r="Z101" i="7"/>
  <c r="AA101" i="7"/>
  <c r="AE101" i="7"/>
  <c r="AF101" i="7"/>
  <c r="J102" i="7"/>
  <c r="AB102" i="7" s="1"/>
  <c r="L102" i="7"/>
  <c r="O102" i="7"/>
  <c r="Z102" i="7"/>
  <c r="AA102" i="7"/>
  <c r="AE102" i="7"/>
  <c r="AF102" i="7"/>
  <c r="J103" i="7"/>
  <c r="AB103" i="7" s="1"/>
  <c r="L103" i="7"/>
  <c r="O103" i="7"/>
  <c r="Z103" i="7"/>
  <c r="AA103" i="7"/>
  <c r="AE103" i="7"/>
  <c r="AF103" i="7"/>
  <c r="J104" i="7"/>
  <c r="AB104" i="7" s="1"/>
  <c r="L104" i="7"/>
  <c r="O104" i="7"/>
  <c r="Z104" i="7"/>
  <c r="AA104" i="7"/>
  <c r="AE104" i="7"/>
  <c r="AF104" i="7"/>
  <c r="J105" i="7"/>
  <c r="AB105" i="7" s="1"/>
  <c r="L105" i="7"/>
  <c r="O105" i="7"/>
  <c r="Z105" i="7"/>
  <c r="AA105" i="7"/>
  <c r="AE105" i="7"/>
  <c r="AF105" i="7"/>
  <c r="J106" i="7"/>
  <c r="AB106" i="7" s="1"/>
  <c r="L106" i="7"/>
  <c r="O106" i="7"/>
  <c r="Z106" i="7"/>
  <c r="AA106" i="7"/>
  <c r="AE106" i="7"/>
  <c r="AF106" i="7"/>
  <c r="J107" i="7"/>
  <c r="AB107" i="7" s="1"/>
  <c r="L107" i="7"/>
  <c r="O107" i="7"/>
  <c r="Z107" i="7"/>
  <c r="AA107" i="7"/>
  <c r="AE107" i="7"/>
  <c r="AF107" i="7"/>
  <c r="J108" i="7"/>
  <c r="AB108" i="7" s="1"/>
  <c r="L108" i="7"/>
  <c r="O108" i="7"/>
  <c r="Z108" i="7"/>
  <c r="AA108" i="7"/>
  <c r="AE108" i="7"/>
  <c r="AF108" i="7"/>
  <c r="J109" i="7"/>
  <c r="AB109" i="7" s="1"/>
  <c r="L109" i="7"/>
  <c r="O109" i="7"/>
  <c r="Z109" i="7"/>
  <c r="AA109" i="7"/>
  <c r="AE109" i="7"/>
  <c r="AF109" i="7"/>
  <c r="J110" i="7"/>
  <c r="AB110" i="7" s="1"/>
  <c r="L110" i="7"/>
  <c r="O110" i="7"/>
  <c r="Z110" i="7"/>
  <c r="AA110" i="7"/>
  <c r="AE110" i="7"/>
  <c r="AF110" i="7"/>
  <c r="J111" i="7"/>
  <c r="AB111" i="7" s="1"/>
  <c r="L111" i="7"/>
  <c r="O111" i="7"/>
  <c r="Z111" i="7"/>
  <c r="AA111" i="7"/>
  <c r="AE111" i="7"/>
  <c r="AF111" i="7"/>
  <c r="J112" i="7"/>
  <c r="AB112" i="7" s="1"/>
  <c r="L112" i="7"/>
  <c r="O112" i="7"/>
  <c r="Z112" i="7"/>
  <c r="AA112" i="7"/>
  <c r="AE112" i="7"/>
  <c r="AF112" i="7"/>
  <c r="J113" i="7"/>
  <c r="L113" i="7"/>
  <c r="Z113" i="7"/>
  <c r="AA113" i="7"/>
  <c r="AB113" i="7"/>
  <c r="AE113" i="7"/>
  <c r="O113" i="7" s="1"/>
  <c r="AF113" i="7"/>
  <c r="R114" i="7"/>
  <c r="S114" i="7"/>
  <c r="V114" i="7"/>
  <c r="W114" i="7"/>
  <c r="X114" i="7"/>
  <c r="J115" i="7"/>
  <c r="L115" i="7"/>
  <c r="O115" i="7"/>
  <c r="Z115" i="7"/>
  <c r="AA115" i="7"/>
  <c r="AE115" i="7"/>
  <c r="AF115" i="7"/>
  <c r="J116" i="7"/>
  <c r="L116" i="7"/>
  <c r="O116" i="7"/>
  <c r="Z116" i="7"/>
  <c r="AA116" i="7"/>
  <c r="AE116" i="7"/>
  <c r="AF116" i="7"/>
  <c r="J117" i="7"/>
  <c r="L117" i="7"/>
  <c r="Z117" i="7"/>
  <c r="AA117" i="7"/>
  <c r="AE117" i="7"/>
  <c r="AF117" i="7"/>
  <c r="R119" i="7"/>
  <c r="S119" i="7"/>
  <c r="V119" i="7"/>
  <c r="W119" i="7"/>
  <c r="X119" i="7"/>
  <c r="J120" i="7"/>
  <c r="AB120" i="7" s="1"/>
  <c r="L120" i="7"/>
  <c r="O120" i="7"/>
  <c r="Z120" i="7"/>
  <c r="AA120" i="7"/>
  <c r="AE120" i="7"/>
  <c r="AF120" i="7"/>
  <c r="J121" i="7"/>
  <c r="AB121" i="7" s="1"/>
  <c r="L121" i="7"/>
  <c r="O121" i="7"/>
  <c r="Z121" i="7"/>
  <c r="AA121" i="7"/>
  <c r="AE121" i="7"/>
  <c r="AF121" i="7"/>
  <c r="J122" i="7"/>
  <c r="AB122" i="7" s="1"/>
  <c r="L122" i="7"/>
  <c r="O122" i="7"/>
  <c r="Z122" i="7"/>
  <c r="AA122" i="7"/>
  <c r="AE122" i="7"/>
  <c r="AF122" i="7"/>
  <c r="J123" i="7"/>
  <c r="AB123" i="7" s="1"/>
  <c r="L123" i="7"/>
  <c r="O123" i="7"/>
  <c r="Z123" i="7"/>
  <c r="AA123" i="7"/>
  <c r="AE123" i="7"/>
  <c r="AF123" i="7"/>
  <c r="J124" i="7"/>
  <c r="AB124" i="7" s="1"/>
  <c r="L124" i="7"/>
  <c r="O124" i="7"/>
  <c r="Z124" i="7"/>
  <c r="AA124" i="7"/>
  <c r="AE124" i="7"/>
  <c r="AF124" i="7"/>
  <c r="J125" i="7"/>
  <c r="AB125" i="7" s="1"/>
  <c r="L125" i="7"/>
  <c r="O125" i="7"/>
  <c r="Z125" i="7"/>
  <c r="AA125" i="7"/>
  <c r="AE125" i="7"/>
  <c r="AF125" i="7"/>
  <c r="J126" i="7"/>
  <c r="AB126" i="7" s="1"/>
  <c r="L126" i="7"/>
  <c r="O126" i="7"/>
  <c r="Z126" i="7"/>
  <c r="AA126" i="7"/>
  <c r="AE126" i="7"/>
  <c r="AF126" i="7"/>
  <c r="J127" i="7"/>
  <c r="AB127" i="7" s="1"/>
  <c r="L127" i="7"/>
  <c r="O127" i="7"/>
  <c r="Z127" i="7"/>
  <c r="AA127" i="7"/>
  <c r="AE127" i="7"/>
  <c r="AF127" i="7"/>
  <c r="J128" i="7"/>
  <c r="AB128" i="7" s="1"/>
  <c r="L128" i="7"/>
  <c r="O128" i="7"/>
  <c r="Z128" i="7"/>
  <c r="AA128" i="7"/>
  <c r="AE128" i="7"/>
  <c r="AF128" i="7"/>
  <c r="J129" i="7"/>
  <c r="AB129" i="7" s="1"/>
  <c r="L129" i="7"/>
  <c r="O129" i="7"/>
  <c r="Z129" i="7"/>
  <c r="AA129" i="7"/>
  <c r="AE129" i="7"/>
  <c r="AF129" i="7"/>
  <c r="J130" i="7"/>
  <c r="AB130" i="7" s="1"/>
  <c r="L130" i="7"/>
  <c r="O130" i="7"/>
  <c r="Z130" i="7"/>
  <c r="AA130" i="7"/>
  <c r="AE130" i="7"/>
  <c r="AF130" i="7"/>
  <c r="O131" i="7"/>
  <c r="J131" i="7"/>
  <c r="L131" i="7"/>
  <c r="Z131" i="7"/>
  <c r="AA131" i="7"/>
  <c r="AB131" i="7"/>
  <c r="AE131" i="7"/>
  <c r="AF131" i="7"/>
  <c r="R132" i="7"/>
  <c r="S132" i="7"/>
  <c r="V132" i="7"/>
  <c r="W132" i="7"/>
  <c r="X132" i="7"/>
  <c r="J133" i="7"/>
  <c r="L133" i="7"/>
  <c r="O133" i="7"/>
  <c r="Z133" i="7"/>
  <c r="AA133" i="7"/>
  <c r="AE133" i="7"/>
  <c r="AF133" i="7"/>
  <c r="J134" i="7"/>
  <c r="L134" i="7"/>
  <c r="O134" i="7"/>
  <c r="Z134" i="7"/>
  <c r="AA134" i="7"/>
  <c r="AE134" i="7"/>
  <c r="AF134" i="7"/>
  <c r="J135" i="7"/>
  <c r="L135" i="7"/>
  <c r="O135" i="7"/>
  <c r="Z135" i="7"/>
  <c r="AA135" i="7"/>
  <c r="AE135" i="7"/>
  <c r="AF135" i="7"/>
  <c r="J136" i="7"/>
  <c r="L136" i="7"/>
  <c r="O136" i="7"/>
  <c r="Z136" i="7"/>
  <c r="AA136" i="7"/>
  <c r="AE136" i="7"/>
  <c r="AF136" i="7"/>
  <c r="J137" i="7"/>
  <c r="L137" i="7"/>
  <c r="O137" i="7"/>
  <c r="Z137" i="7"/>
  <c r="AA137" i="7"/>
  <c r="AE137" i="7"/>
  <c r="AF137" i="7"/>
  <c r="J138" i="7"/>
  <c r="L138" i="7"/>
  <c r="O138" i="7"/>
  <c r="Z138" i="7"/>
  <c r="AA138" i="7"/>
  <c r="AE138" i="7"/>
  <c r="AF138" i="7"/>
  <c r="J139" i="7"/>
  <c r="L139" i="7"/>
  <c r="O139" i="7"/>
  <c r="Z139" i="7"/>
  <c r="AA139" i="7"/>
  <c r="AE139" i="7"/>
  <c r="AF139" i="7"/>
  <c r="J140" i="7"/>
  <c r="L140" i="7"/>
  <c r="O140" i="7"/>
  <c r="Z140" i="7"/>
  <c r="AA140" i="7"/>
  <c r="AE140" i="7"/>
  <c r="AF140" i="7"/>
  <c r="J141" i="7"/>
  <c r="L141" i="7"/>
  <c r="O141" i="7"/>
  <c r="Z141" i="7"/>
  <c r="AA141" i="7"/>
  <c r="AE141" i="7"/>
  <c r="AF141" i="7"/>
  <c r="J142" i="7"/>
  <c r="AB142" i="7" s="1"/>
  <c r="L142" i="7"/>
  <c r="O142" i="7"/>
  <c r="Z142" i="7"/>
  <c r="AA142" i="7"/>
  <c r="AE142" i="7"/>
  <c r="AF142" i="7"/>
  <c r="J143" i="7"/>
  <c r="AB143" i="7" s="1"/>
  <c r="L143" i="7"/>
  <c r="O143" i="7"/>
  <c r="Z143" i="7"/>
  <c r="AA143" i="7"/>
  <c r="AE143" i="7"/>
  <c r="AF143" i="7"/>
  <c r="J144" i="7"/>
  <c r="AB144" i="7" s="1"/>
  <c r="L144" i="7"/>
  <c r="O144" i="7"/>
  <c r="Z144" i="7"/>
  <c r="AA144" i="7"/>
  <c r="AE144" i="7"/>
  <c r="AF144" i="7"/>
  <c r="J145" i="7"/>
  <c r="AB145" i="7" s="1"/>
  <c r="L145" i="7"/>
  <c r="O145" i="7"/>
  <c r="Z145" i="7"/>
  <c r="AA145" i="7"/>
  <c r="AE145" i="7"/>
  <c r="AF145" i="7"/>
  <c r="J146" i="7"/>
  <c r="AB146" i="7" s="1"/>
  <c r="L146" i="7"/>
  <c r="O146" i="7"/>
  <c r="Z146" i="7"/>
  <c r="AA146" i="7"/>
  <c r="AE146" i="7"/>
  <c r="AF146" i="7"/>
  <c r="J147" i="7"/>
  <c r="AB147" i="7" s="1"/>
  <c r="L147" i="7"/>
  <c r="O147" i="7"/>
  <c r="Z147" i="7"/>
  <c r="AA147" i="7"/>
  <c r="AE147" i="7"/>
  <c r="AF147" i="7"/>
  <c r="J148" i="7"/>
  <c r="AB148" i="7" s="1"/>
  <c r="L148" i="7"/>
  <c r="O148" i="7"/>
  <c r="Z148" i="7"/>
  <c r="AA148" i="7"/>
  <c r="AE148" i="7"/>
  <c r="AF148" i="7"/>
  <c r="J149" i="7"/>
  <c r="AB149" i="7" s="1"/>
  <c r="L149" i="7"/>
  <c r="O149" i="7"/>
  <c r="Z149" i="7"/>
  <c r="AA149" i="7"/>
  <c r="AE149" i="7"/>
  <c r="AF149" i="7"/>
  <c r="J150" i="7"/>
  <c r="AB150" i="7" s="1"/>
  <c r="L150" i="7"/>
  <c r="O150" i="7"/>
  <c r="Z150" i="7"/>
  <c r="AA150" i="7"/>
  <c r="AE150" i="7"/>
  <c r="AF150" i="7"/>
  <c r="J151" i="7"/>
  <c r="AB151" i="7" s="1"/>
  <c r="L151" i="7"/>
  <c r="Z151" i="7"/>
  <c r="AA151" i="7"/>
  <c r="AE151" i="7"/>
  <c r="O151" i="7" s="1"/>
  <c r="AF151" i="7"/>
  <c r="R152" i="7"/>
  <c r="S152" i="7"/>
  <c r="V152" i="7"/>
  <c r="W152" i="7"/>
  <c r="X152" i="7"/>
  <c r="J153" i="7"/>
  <c r="AB153" i="7" s="1"/>
  <c r="L153" i="7"/>
  <c r="O153" i="7"/>
  <c r="Z153" i="7"/>
  <c r="AA153" i="7"/>
  <c r="AE153" i="7"/>
  <c r="AF153" i="7"/>
  <c r="J154" i="7"/>
  <c r="L154" i="7"/>
  <c r="O154" i="7"/>
  <c r="Z154" i="7"/>
  <c r="AA154" i="7"/>
  <c r="AE154" i="7"/>
  <c r="AF154" i="7"/>
  <c r="J155" i="7"/>
  <c r="AB155" i="7" s="1"/>
  <c r="L155" i="7"/>
  <c r="O155" i="7"/>
  <c r="Z155" i="7"/>
  <c r="AA155" i="7"/>
  <c r="AE155" i="7"/>
  <c r="AF155" i="7"/>
  <c r="J156" i="7"/>
  <c r="AB156" i="7" s="1"/>
  <c r="L156" i="7"/>
  <c r="O156" i="7"/>
  <c r="Z156" i="7"/>
  <c r="AA156" i="7"/>
  <c r="AE156" i="7"/>
  <c r="AF156" i="7"/>
  <c r="J157" i="7"/>
  <c r="AB157" i="7" s="1"/>
  <c r="L157" i="7"/>
  <c r="O157" i="7"/>
  <c r="Z157" i="7"/>
  <c r="AA157" i="7"/>
  <c r="AE157" i="7"/>
  <c r="AF157" i="7"/>
  <c r="J158" i="7"/>
  <c r="L158" i="7"/>
  <c r="O158" i="7"/>
  <c r="Z158" i="7"/>
  <c r="AA158" i="7"/>
  <c r="AE158" i="7"/>
  <c r="AF158" i="7"/>
  <c r="J159" i="7"/>
  <c r="AB159" i="7" s="1"/>
  <c r="L159" i="7"/>
  <c r="O159" i="7"/>
  <c r="Z159" i="7"/>
  <c r="AA159" i="7"/>
  <c r="AE159" i="7"/>
  <c r="AF159" i="7"/>
  <c r="J160" i="7"/>
  <c r="L160" i="7"/>
  <c r="Z160" i="7"/>
  <c r="AA160" i="7"/>
  <c r="AB160" i="7"/>
  <c r="AE160" i="7"/>
  <c r="O160" i="7" s="1"/>
  <c r="AF160" i="7"/>
  <c r="R161" i="7"/>
  <c r="S161" i="7"/>
  <c r="V161" i="7"/>
  <c r="W161" i="7"/>
  <c r="X161" i="7"/>
  <c r="J162" i="7"/>
  <c r="AB162" i="7" s="1"/>
  <c r="L162" i="7"/>
  <c r="O162" i="7"/>
  <c r="Z162" i="7"/>
  <c r="AA162" i="7"/>
  <c r="AE162" i="7"/>
  <c r="AF162" i="7"/>
  <c r="J163" i="7"/>
  <c r="AB163" i="7" s="1"/>
  <c r="L163" i="7"/>
  <c r="O163" i="7"/>
  <c r="Z163" i="7"/>
  <c r="AA163" i="7"/>
  <c r="AE163" i="7"/>
  <c r="AF163" i="7"/>
  <c r="J164" i="7"/>
  <c r="AB164" i="7" s="1"/>
  <c r="L164" i="7"/>
  <c r="O164" i="7"/>
  <c r="Z164" i="7"/>
  <c r="AA164" i="7"/>
  <c r="AE164" i="7"/>
  <c r="AF164" i="7"/>
  <c r="J165" i="7"/>
  <c r="AB165" i="7" s="1"/>
  <c r="L165" i="7"/>
  <c r="O165" i="7"/>
  <c r="Z165" i="7"/>
  <c r="AA165" i="7"/>
  <c r="AE165" i="7"/>
  <c r="AF165" i="7"/>
  <c r="J166" i="7"/>
  <c r="AB166" i="7" s="1"/>
  <c r="L166" i="7"/>
  <c r="O166" i="7"/>
  <c r="Z166" i="7"/>
  <c r="AA166" i="7"/>
  <c r="AE166" i="7"/>
  <c r="AF166" i="7"/>
  <c r="J167" i="7"/>
  <c r="AB167" i="7" s="1"/>
  <c r="L167" i="7"/>
  <c r="O167" i="7"/>
  <c r="Z167" i="7"/>
  <c r="AA167" i="7"/>
  <c r="AE167" i="7"/>
  <c r="AF167" i="7"/>
  <c r="J168" i="7"/>
  <c r="AB168" i="7" s="1"/>
  <c r="L168" i="7"/>
  <c r="O168" i="7"/>
  <c r="Z168" i="7"/>
  <c r="AA168" i="7"/>
  <c r="AE168" i="7"/>
  <c r="AF168" i="7"/>
  <c r="J169" i="7"/>
  <c r="AB169" i="7" s="1"/>
  <c r="L169" i="7"/>
  <c r="O169" i="7"/>
  <c r="Z169" i="7"/>
  <c r="AA169" i="7"/>
  <c r="AE169" i="7"/>
  <c r="AF169" i="7"/>
  <c r="J170" i="7"/>
  <c r="AB170" i="7" s="1"/>
  <c r="L170" i="7"/>
  <c r="O170" i="7"/>
  <c r="Z170" i="7"/>
  <c r="AA170" i="7"/>
  <c r="AE170" i="7"/>
  <c r="AF170" i="7"/>
  <c r="J171" i="7"/>
  <c r="AB171" i="7" s="1"/>
  <c r="L171" i="7"/>
  <c r="O171" i="7"/>
  <c r="Z171" i="7"/>
  <c r="AA171" i="7"/>
  <c r="AE171" i="7"/>
  <c r="AF171" i="7"/>
  <c r="J172" i="7"/>
  <c r="AB172" i="7" s="1"/>
  <c r="L172" i="7"/>
  <c r="O172" i="7"/>
  <c r="Z172" i="7"/>
  <c r="AA172" i="7"/>
  <c r="AE172" i="7"/>
  <c r="AF172" i="7"/>
  <c r="J173" i="7"/>
  <c r="AB173" i="7" s="1"/>
  <c r="L173" i="7"/>
  <c r="O173" i="7"/>
  <c r="Z173" i="7"/>
  <c r="AA173" i="7"/>
  <c r="AE173" i="7"/>
  <c r="AF173" i="7"/>
  <c r="J174" i="7"/>
  <c r="AB174" i="7" s="1"/>
  <c r="L174" i="7"/>
  <c r="O174" i="7"/>
  <c r="Z174" i="7"/>
  <c r="AA174" i="7"/>
  <c r="AE174" i="7"/>
  <c r="AF174" i="7"/>
  <c r="J175" i="7"/>
  <c r="AB175" i="7" s="1"/>
  <c r="L175" i="7"/>
  <c r="O175" i="7"/>
  <c r="Z175" i="7"/>
  <c r="AA175" i="7"/>
  <c r="AE175" i="7"/>
  <c r="AF175" i="7"/>
  <c r="J176" i="7"/>
  <c r="AB176" i="7" s="1"/>
  <c r="L176" i="7"/>
  <c r="O176" i="7"/>
  <c r="Z176" i="7"/>
  <c r="AA176" i="7"/>
  <c r="AE176" i="7"/>
  <c r="AF176" i="7"/>
  <c r="J177" i="7"/>
  <c r="AB177" i="7" s="1"/>
  <c r="L177" i="7"/>
  <c r="O177" i="7"/>
  <c r="Z177" i="7"/>
  <c r="AA177" i="7"/>
  <c r="AE177" i="7"/>
  <c r="AF177" i="7"/>
  <c r="J178" i="7"/>
  <c r="AB178" i="7" s="1"/>
  <c r="L178" i="7"/>
  <c r="O178" i="7"/>
  <c r="Z178" i="7"/>
  <c r="AA178" i="7"/>
  <c r="AE178" i="7"/>
  <c r="AF178" i="7"/>
  <c r="J179" i="7"/>
  <c r="AB179" i="7" s="1"/>
  <c r="L179" i="7"/>
  <c r="O179" i="7"/>
  <c r="Z179" i="7"/>
  <c r="AA179" i="7"/>
  <c r="AE179" i="7"/>
  <c r="AF179" i="7"/>
  <c r="J180" i="7"/>
  <c r="AB180" i="7" s="1"/>
  <c r="L180" i="7"/>
  <c r="O180" i="7"/>
  <c r="Z180" i="7"/>
  <c r="AA180" i="7"/>
  <c r="AE180" i="7"/>
  <c r="AF180" i="7"/>
  <c r="J181" i="7"/>
  <c r="AB181" i="7" s="1"/>
  <c r="L181" i="7"/>
  <c r="Z181" i="7"/>
  <c r="AA181" i="7"/>
  <c r="AE181" i="7"/>
  <c r="AF181" i="7"/>
  <c r="R182" i="7"/>
  <c r="S182" i="7"/>
  <c r="V182" i="7"/>
  <c r="W182" i="7"/>
  <c r="X182" i="7"/>
  <c r="J183" i="7"/>
  <c r="AB183" i="7" s="1"/>
  <c r="L183" i="7"/>
  <c r="O183" i="7"/>
  <c r="Z183" i="7"/>
  <c r="AA183" i="7"/>
  <c r="AE183" i="7"/>
  <c r="AF183" i="7"/>
  <c r="J184" i="7"/>
  <c r="AB184" i="7" s="1"/>
  <c r="L184" i="7"/>
  <c r="O184" i="7"/>
  <c r="Z184" i="7"/>
  <c r="AA184" i="7"/>
  <c r="AE184" i="7"/>
  <c r="AF184" i="7"/>
  <c r="J185" i="7"/>
  <c r="AB185" i="7" s="1"/>
  <c r="L185" i="7"/>
  <c r="O185" i="7"/>
  <c r="Z185" i="7"/>
  <c r="AA185" i="7"/>
  <c r="AE185" i="7"/>
  <c r="AF185" i="7"/>
  <c r="J186" i="7"/>
  <c r="AB186" i="7" s="1"/>
  <c r="L186" i="7"/>
  <c r="O186" i="7"/>
  <c r="Z186" i="7"/>
  <c r="AA186" i="7"/>
  <c r="AE186" i="7"/>
  <c r="AF186" i="7"/>
  <c r="J187" i="7"/>
  <c r="AB187" i="7" s="1"/>
  <c r="L187" i="7"/>
  <c r="O187" i="7"/>
  <c r="Z187" i="7"/>
  <c r="AA187" i="7"/>
  <c r="AE187" i="7"/>
  <c r="AF187" i="7"/>
  <c r="J188" i="7"/>
  <c r="AB188" i="7" s="1"/>
  <c r="L188" i="7"/>
  <c r="O188" i="7"/>
  <c r="Z188" i="7"/>
  <c r="AA188" i="7"/>
  <c r="AE188" i="7"/>
  <c r="AF188" i="7"/>
  <c r="J189" i="7"/>
  <c r="AB189" i="7" s="1"/>
  <c r="L189" i="7"/>
  <c r="O189" i="7"/>
  <c r="Z189" i="7"/>
  <c r="AA189" i="7"/>
  <c r="AE189" i="7"/>
  <c r="AF189" i="7"/>
  <c r="J190" i="7"/>
  <c r="AB190" i="7" s="1"/>
  <c r="L190" i="7"/>
  <c r="O190" i="7"/>
  <c r="Z190" i="7"/>
  <c r="AA190" i="7"/>
  <c r="AE190" i="7"/>
  <c r="AF190" i="7"/>
  <c r="J191" i="7"/>
  <c r="AB191" i="7" s="1"/>
  <c r="L191" i="7"/>
  <c r="O191" i="7"/>
  <c r="Z191" i="7"/>
  <c r="AA191" i="7"/>
  <c r="AE191" i="7"/>
  <c r="AF191" i="7"/>
  <c r="J192" i="7"/>
  <c r="AB192" i="7" s="1"/>
  <c r="L192" i="7"/>
  <c r="O192" i="7"/>
  <c r="Z192" i="7"/>
  <c r="AA192" i="7"/>
  <c r="AE192" i="7"/>
  <c r="AF192" i="7"/>
  <c r="J193" i="7"/>
  <c r="AB193" i="7" s="1"/>
  <c r="L193" i="7"/>
  <c r="O193" i="7"/>
  <c r="Z193" i="7"/>
  <c r="AA193" i="7"/>
  <c r="AE193" i="7"/>
  <c r="AF193" i="7"/>
  <c r="J194" i="7"/>
  <c r="AB194" i="7" s="1"/>
  <c r="L194" i="7"/>
  <c r="Z194" i="7"/>
  <c r="AA194" i="7"/>
  <c r="AE194" i="7"/>
  <c r="O194" i="7" s="1"/>
  <c r="AF194" i="7"/>
  <c r="R195" i="7"/>
  <c r="S195" i="7"/>
  <c r="V195" i="7"/>
  <c r="W195" i="7"/>
  <c r="X195" i="7"/>
  <c r="J196" i="7"/>
  <c r="L196" i="7"/>
  <c r="O196" i="7"/>
  <c r="Z196" i="7"/>
  <c r="AA196" i="7"/>
  <c r="AE196" i="7"/>
  <c r="AF196" i="7"/>
  <c r="J197" i="7"/>
  <c r="L197" i="7"/>
  <c r="O197" i="7"/>
  <c r="Z197" i="7"/>
  <c r="AA197" i="7"/>
  <c r="AE197" i="7"/>
  <c r="AF197" i="7"/>
  <c r="J198" i="7"/>
  <c r="L198" i="7"/>
  <c r="O198" i="7"/>
  <c r="Z198" i="7"/>
  <c r="AA198" i="7"/>
  <c r="AE198" i="7"/>
  <c r="AF198" i="7"/>
  <c r="J199" i="7"/>
  <c r="L199" i="7"/>
  <c r="O199" i="7"/>
  <c r="Z199" i="7"/>
  <c r="AA199" i="7"/>
  <c r="AE199" i="7"/>
  <c r="AF199" i="7"/>
  <c r="J200" i="7"/>
  <c r="L200" i="7"/>
  <c r="O200" i="7"/>
  <c r="Z200" i="7"/>
  <c r="AA200" i="7"/>
  <c r="AE200" i="7"/>
  <c r="AF200" i="7"/>
  <c r="J201" i="7"/>
  <c r="L201" i="7"/>
  <c r="Z201" i="7"/>
  <c r="AA201" i="7"/>
  <c r="AE201" i="7"/>
  <c r="AF201" i="7"/>
  <c r="R202" i="7"/>
  <c r="S202" i="7"/>
  <c r="T202" i="7"/>
  <c r="U202" i="7"/>
  <c r="X202" i="7"/>
  <c r="J203" i="7"/>
  <c r="AB203" i="7" s="1"/>
  <c r="L203" i="7"/>
  <c r="O203" i="7"/>
  <c r="Z203" i="7"/>
  <c r="AA203" i="7"/>
  <c r="AE203" i="7"/>
  <c r="AF203" i="7"/>
  <c r="J204" i="7"/>
  <c r="AB204" i="7" s="1"/>
  <c r="L204" i="7"/>
  <c r="O204" i="7"/>
  <c r="Z204" i="7"/>
  <c r="AA204" i="7"/>
  <c r="AE204" i="7"/>
  <c r="AF204" i="7"/>
  <c r="J205" i="7"/>
  <c r="AB205" i="7" s="1"/>
  <c r="L205" i="7"/>
  <c r="O205" i="7"/>
  <c r="Z205" i="7"/>
  <c r="AA205" i="7"/>
  <c r="AE205" i="7"/>
  <c r="AF205" i="7"/>
  <c r="J206" i="7"/>
  <c r="AB206" i="7" s="1"/>
  <c r="L206" i="7"/>
  <c r="O206" i="7"/>
  <c r="Z206" i="7"/>
  <c r="AA206" i="7"/>
  <c r="AE206" i="7"/>
  <c r="AF206" i="7"/>
  <c r="J207" i="7"/>
  <c r="AB207" i="7" s="1"/>
  <c r="L207" i="7"/>
  <c r="O207" i="7"/>
  <c r="Z207" i="7"/>
  <c r="AA207" i="7"/>
  <c r="AE207" i="7"/>
  <c r="AF207" i="7"/>
  <c r="J208" i="7"/>
  <c r="AB208" i="7" s="1"/>
  <c r="L208" i="7"/>
  <c r="O208" i="7"/>
  <c r="Z208" i="7"/>
  <c r="AA208" i="7"/>
  <c r="AE208" i="7"/>
  <c r="AF208" i="7"/>
  <c r="J209" i="7"/>
  <c r="AB209" i="7" s="1"/>
  <c r="L209" i="7"/>
  <c r="O209" i="7"/>
  <c r="Z209" i="7"/>
  <c r="AA209" i="7"/>
  <c r="AE209" i="7"/>
  <c r="AF209" i="7"/>
  <c r="J210" i="7"/>
  <c r="AB210" i="7" s="1"/>
  <c r="L210" i="7"/>
  <c r="O210" i="7"/>
  <c r="Z210" i="7"/>
  <c r="AA210" i="7"/>
  <c r="AE210" i="7"/>
  <c r="AF210" i="7"/>
  <c r="J211" i="7"/>
  <c r="AB211" i="7" s="1"/>
  <c r="L211" i="7"/>
  <c r="O211" i="7"/>
  <c r="Z211" i="7"/>
  <c r="AA211" i="7"/>
  <c r="AE211" i="7"/>
  <c r="AF211" i="7"/>
  <c r="J212" i="7"/>
  <c r="AB212" i="7" s="1"/>
  <c r="L212" i="7"/>
  <c r="O212" i="7"/>
  <c r="Z212" i="7"/>
  <c r="AA212" i="7"/>
  <c r="AE212" i="7"/>
  <c r="AF212" i="7"/>
  <c r="R214" i="7"/>
  <c r="S214" i="7"/>
  <c r="T214" i="7"/>
  <c r="U214" i="7"/>
  <c r="V214" i="7"/>
  <c r="W214" i="7"/>
  <c r="J215" i="7"/>
  <c r="L215" i="7"/>
  <c r="Z215" i="7"/>
  <c r="AA215" i="7"/>
  <c r="AE215" i="7"/>
  <c r="AF215" i="7"/>
  <c r="J216" i="7"/>
  <c r="L216" i="7"/>
  <c r="Z216" i="7"/>
  <c r="AA216" i="7"/>
  <c r="AE216" i="7"/>
  <c r="AF216" i="7"/>
  <c r="J217" i="7"/>
  <c r="L217" i="7"/>
  <c r="Z217" i="7"/>
  <c r="AA217" i="7"/>
  <c r="AE217" i="7"/>
  <c r="AF217" i="7"/>
  <c r="J218" i="7"/>
  <c r="L218" i="7"/>
  <c r="Z218" i="7"/>
  <c r="AA218" i="7"/>
  <c r="AE218" i="7"/>
  <c r="AF218" i="7"/>
  <c r="J219" i="7"/>
  <c r="L219" i="7"/>
  <c r="Z219" i="7"/>
  <c r="AA219" i="7"/>
  <c r="AE219" i="7"/>
  <c r="AF219" i="7"/>
  <c r="J220" i="7"/>
  <c r="L220" i="7"/>
  <c r="Z220" i="7"/>
  <c r="AA220" i="7"/>
  <c r="AE220" i="7"/>
  <c r="AF220" i="7"/>
  <c r="J221" i="7"/>
  <c r="L221" i="7"/>
  <c r="Z221" i="7"/>
  <c r="AA221" i="7"/>
  <c r="AE221" i="7"/>
  <c r="AF221" i="7"/>
  <c r="J222" i="7"/>
  <c r="L222" i="7"/>
  <c r="Z222" i="7"/>
  <c r="AA222" i="7"/>
  <c r="AE222" i="7"/>
  <c r="AF222" i="7"/>
  <c r="R223" i="7"/>
  <c r="S223" i="7"/>
  <c r="V223" i="7"/>
  <c r="W223" i="7"/>
  <c r="X223" i="7"/>
  <c r="J224" i="7"/>
  <c r="AB224" i="7" s="1"/>
  <c r="L224" i="7"/>
  <c r="O224" i="7"/>
  <c r="Z224" i="7"/>
  <c r="AA224" i="7"/>
  <c r="AE224" i="7"/>
  <c r="AF224" i="7"/>
  <c r="J225" i="7"/>
  <c r="AB225" i="7" s="1"/>
  <c r="L225" i="7"/>
  <c r="O225" i="7"/>
  <c r="Z225" i="7"/>
  <c r="AA225" i="7"/>
  <c r="AE225" i="7"/>
  <c r="AF225" i="7"/>
  <c r="J226" i="7"/>
  <c r="AB226" i="7" s="1"/>
  <c r="L226" i="7"/>
  <c r="O226" i="7"/>
  <c r="Z226" i="7"/>
  <c r="AA226" i="7"/>
  <c r="AE226" i="7"/>
  <c r="AF226" i="7"/>
  <c r="J227" i="7"/>
  <c r="AB227" i="7" s="1"/>
  <c r="L227" i="7"/>
  <c r="O227" i="7"/>
  <c r="Z227" i="7"/>
  <c r="AA227" i="7"/>
  <c r="AE227" i="7"/>
  <c r="AF227" i="7"/>
  <c r="J228" i="7"/>
  <c r="AB228" i="7" s="1"/>
  <c r="L228" i="7"/>
  <c r="O228" i="7"/>
  <c r="Z228" i="7"/>
  <c r="AA228" i="7"/>
  <c r="AE228" i="7"/>
  <c r="AF228" i="7"/>
  <c r="R229" i="7"/>
  <c r="S229" i="7"/>
  <c r="V229" i="7"/>
  <c r="W229" i="7"/>
  <c r="X229" i="7"/>
  <c r="J230" i="7"/>
  <c r="L230" i="7"/>
  <c r="L229" i="7" s="1"/>
  <c r="O230" i="7"/>
  <c r="P229" i="7" s="1"/>
  <c r="Z230" i="7"/>
  <c r="AI229" i="7" s="1"/>
  <c r="AA230" i="7"/>
  <c r="AJ229" i="7" s="1"/>
  <c r="AE230" i="7"/>
  <c r="AF230" i="7"/>
  <c r="R231" i="7"/>
  <c r="S231" i="7"/>
  <c r="V231" i="7"/>
  <c r="W231" i="7"/>
  <c r="X231" i="7"/>
  <c r="J232" i="7"/>
  <c r="AB232" i="7" s="1"/>
  <c r="L232" i="7"/>
  <c r="O232" i="7"/>
  <c r="Z232" i="7"/>
  <c r="AA232" i="7"/>
  <c r="AE232" i="7"/>
  <c r="AF232" i="7"/>
  <c r="J233" i="7"/>
  <c r="AB233" i="7" s="1"/>
  <c r="L233" i="7"/>
  <c r="O233" i="7"/>
  <c r="Z233" i="7"/>
  <c r="AA233" i="7"/>
  <c r="AE233" i="7"/>
  <c r="AF233" i="7"/>
  <c r="J234" i="7"/>
  <c r="AB234" i="7" s="1"/>
  <c r="L234" i="7"/>
  <c r="O234" i="7"/>
  <c r="Z234" i="7"/>
  <c r="AA234" i="7"/>
  <c r="AE234" i="7"/>
  <c r="AF234" i="7"/>
  <c r="J235" i="7"/>
  <c r="AB235" i="7" s="1"/>
  <c r="L235" i="7"/>
  <c r="O235" i="7"/>
  <c r="Z235" i="7"/>
  <c r="AA235" i="7"/>
  <c r="AE235" i="7"/>
  <c r="AF235" i="7"/>
  <c r="J236" i="7"/>
  <c r="AB236" i="7" s="1"/>
  <c r="L236" i="7"/>
  <c r="O236" i="7"/>
  <c r="Z236" i="7"/>
  <c r="AA236" i="7"/>
  <c r="AE236" i="7"/>
  <c r="AF236" i="7"/>
  <c r="J237" i="7"/>
  <c r="AB237" i="7" s="1"/>
  <c r="L237" i="7"/>
  <c r="O237" i="7"/>
  <c r="Z237" i="7"/>
  <c r="AA237" i="7"/>
  <c r="AE237" i="7"/>
  <c r="AF237" i="7"/>
  <c r="J238" i="7"/>
  <c r="AB238" i="7" s="1"/>
  <c r="L238" i="7"/>
  <c r="O238" i="7"/>
  <c r="Z238" i="7"/>
  <c r="AA238" i="7"/>
  <c r="AE238" i="7"/>
  <c r="AF238" i="7"/>
  <c r="T240" i="7"/>
  <c r="U240" i="7"/>
  <c r="V240" i="7"/>
  <c r="W240" i="7"/>
  <c r="X240" i="7"/>
  <c r="J241" i="7"/>
  <c r="L241" i="7"/>
  <c r="L240" i="7" s="1"/>
  <c r="O241" i="7"/>
  <c r="P240" i="7" s="1"/>
  <c r="Z241" i="7"/>
  <c r="AI240" i="7" s="1"/>
  <c r="AA241" i="7"/>
  <c r="AJ240" i="7" s="1"/>
  <c r="AE241" i="7"/>
  <c r="AF241" i="7"/>
  <c r="T242" i="7"/>
  <c r="U242" i="7"/>
  <c r="V242" i="7"/>
  <c r="W242" i="7"/>
  <c r="X242" i="7"/>
  <c r="J243" i="7"/>
  <c r="AB243" i="7" s="1"/>
  <c r="L243" i="7"/>
  <c r="O243" i="7"/>
  <c r="Z243" i="7"/>
  <c r="AA243" i="7"/>
  <c r="AE243" i="7"/>
  <c r="AF243" i="7"/>
  <c r="J244" i="7"/>
  <c r="AB244" i="7" s="1"/>
  <c r="L244" i="7"/>
  <c r="O244" i="7"/>
  <c r="Z244" i="7"/>
  <c r="AA244" i="7"/>
  <c r="AE244" i="7"/>
  <c r="AF244" i="7"/>
  <c r="J245" i="7"/>
  <c r="AB245" i="7" s="1"/>
  <c r="L245" i="7"/>
  <c r="O245" i="7"/>
  <c r="Z245" i="7"/>
  <c r="AA245" i="7"/>
  <c r="AE245" i="7"/>
  <c r="AF245" i="7"/>
  <c r="J246" i="7"/>
  <c r="AB246" i="7" s="1"/>
  <c r="L246" i="7"/>
  <c r="O246" i="7"/>
  <c r="Z246" i="7"/>
  <c r="AA246" i="7"/>
  <c r="AE246" i="7"/>
  <c r="AF246" i="7"/>
  <c r="T247" i="7"/>
  <c r="U247" i="7"/>
  <c r="V247" i="7"/>
  <c r="W247" i="7"/>
  <c r="X247" i="7"/>
  <c r="J248" i="7"/>
  <c r="L248" i="7"/>
  <c r="L247" i="7" s="1"/>
  <c r="O248" i="7"/>
  <c r="P247" i="7" s="1"/>
  <c r="Z248" i="7"/>
  <c r="AI247" i="7" s="1"/>
  <c r="AA248" i="7"/>
  <c r="AJ247" i="7" s="1"/>
  <c r="AE248" i="7"/>
  <c r="AF248" i="7"/>
  <c r="T249" i="7"/>
  <c r="U249" i="7"/>
  <c r="V249" i="7"/>
  <c r="W249" i="7"/>
  <c r="X249" i="7"/>
  <c r="J250" i="7"/>
  <c r="AB250" i="7" s="1"/>
  <c r="AK249" i="7" s="1"/>
  <c r="L250" i="7"/>
  <c r="L249" i="7" s="1"/>
  <c r="O250" i="7"/>
  <c r="P249" i="7" s="1"/>
  <c r="S249" i="7" s="1"/>
  <c r="Z250" i="7"/>
  <c r="AI249" i="7" s="1"/>
  <c r="AA250" i="7"/>
  <c r="AJ249" i="7" s="1"/>
  <c r="AE250" i="7"/>
  <c r="R249" i="7" s="1"/>
  <c r="AF250" i="7"/>
  <c r="T251" i="7"/>
  <c r="U251" i="7"/>
  <c r="V251" i="7"/>
  <c r="W251" i="7"/>
  <c r="X251" i="7"/>
  <c r="J252" i="7"/>
  <c r="L252" i="7"/>
  <c r="O252" i="7"/>
  <c r="Z252" i="7"/>
  <c r="AA252" i="7"/>
  <c r="AE252" i="7"/>
  <c r="AF252" i="7"/>
  <c r="J253" i="7"/>
  <c r="L253" i="7"/>
  <c r="O253" i="7"/>
  <c r="Z253" i="7"/>
  <c r="AA253" i="7"/>
  <c r="AE253" i="7"/>
  <c r="AF253" i="7"/>
  <c r="T254" i="7"/>
  <c r="U254" i="7"/>
  <c r="V254" i="7"/>
  <c r="W254" i="7"/>
  <c r="X254" i="7"/>
  <c r="J255" i="7"/>
  <c r="AB255" i="7" s="1"/>
  <c r="AK254" i="7" s="1"/>
  <c r="L255" i="7"/>
  <c r="L254" i="7" s="1"/>
  <c r="O255" i="7"/>
  <c r="P254" i="7" s="1"/>
  <c r="Z255" i="7"/>
  <c r="AI254" i="7" s="1"/>
  <c r="AA255" i="7"/>
  <c r="AJ254" i="7" s="1"/>
  <c r="AE255" i="7"/>
  <c r="AF255" i="7"/>
  <c r="T256" i="7"/>
  <c r="U256" i="7"/>
  <c r="V256" i="7"/>
  <c r="W256" i="7"/>
  <c r="X256" i="7"/>
  <c r="J257" i="7"/>
  <c r="L257" i="7"/>
  <c r="O257" i="7"/>
  <c r="Z257" i="7"/>
  <c r="AA257" i="7"/>
  <c r="AE257" i="7"/>
  <c r="AF257" i="7"/>
  <c r="J258" i="7"/>
  <c r="L258" i="7"/>
  <c r="O258" i="7"/>
  <c r="Z258" i="7"/>
  <c r="AA258" i="7"/>
  <c r="AE258" i="7"/>
  <c r="AF258" i="7"/>
  <c r="J259" i="7"/>
  <c r="L259" i="7"/>
  <c r="O259" i="7"/>
  <c r="Z259" i="7"/>
  <c r="AA259" i="7"/>
  <c r="AE259" i="7"/>
  <c r="AF259" i="7"/>
  <c r="J260" i="7"/>
  <c r="L260" i="7"/>
  <c r="O260" i="7"/>
  <c r="Z260" i="7"/>
  <c r="AA260" i="7"/>
  <c r="AE260" i="7"/>
  <c r="AF260" i="7"/>
  <c r="J261" i="7"/>
  <c r="L261" i="7"/>
  <c r="O261" i="7"/>
  <c r="Z261" i="7"/>
  <c r="AA261" i="7"/>
  <c r="AE261" i="7"/>
  <c r="AF261" i="7"/>
  <c r="J262" i="7"/>
  <c r="L262" i="7"/>
  <c r="O262" i="7"/>
  <c r="Z262" i="7"/>
  <c r="AA262" i="7"/>
  <c r="AE262" i="7"/>
  <c r="AF262" i="7"/>
  <c r="J263" i="7"/>
  <c r="L263" i="7"/>
  <c r="O263" i="7"/>
  <c r="Z263" i="7"/>
  <c r="AA263" i="7"/>
  <c r="AE263" i="7"/>
  <c r="AF263" i="7"/>
  <c r="J264" i="7"/>
  <c r="L264" i="7"/>
  <c r="O264" i="7"/>
  <c r="Z264" i="7"/>
  <c r="AA264" i="7"/>
  <c r="AE264" i="7"/>
  <c r="AF264" i="7"/>
  <c r="J265" i="7"/>
  <c r="L265" i="7"/>
  <c r="O265" i="7"/>
  <c r="Z265" i="7"/>
  <c r="AA265" i="7"/>
  <c r="AE265" i="7"/>
  <c r="AF265" i="7"/>
  <c r="J266" i="7"/>
  <c r="L266" i="7"/>
  <c r="O266" i="7"/>
  <c r="Z266" i="7"/>
  <c r="AA266" i="7"/>
  <c r="AE266" i="7"/>
  <c r="AF266" i="7"/>
  <c r="T267" i="7"/>
  <c r="U267" i="7"/>
  <c r="V267" i="7"/>
  <c r="W267" i="7"/>
  <c r="X267" i="7"/>
  <c r="J268" i="7"/>
  <c r="AB268" i="7" s="1"/>
  <c r="L268" i="7"/>
  <c r="O268" i="7"/>
  <c r="Z268" i="7"/>
  <c r="AA268" i="7"/>
  <c r="AE268" i="7"/>
  <c r="AF268" i="7"/>
  <c r="J269" i="7"/>
  <c r="AB269" i="7" s="1"/>
  <c r="L269" i="7"/>
  <c r="O269" i="7"/>
  <c r="Z269" i="7"/>
  <c r="AA269" i="7"/>
  <c r="AE269" i="7"/>
  <c r="AF269" i="7"/>
  <c r="J270" i="7"/>
  <c r="AB270" i="7" s="1"/>
  <c r="L270" i="7"/>
  <c r="O270" i="7"/>
  <c r="Z270" i="7"/>
  <c r="AA270" i="7"/>
  <c r="AE270" i="7"/>
  <c r="AF270" i="7"/>
  <c r="J271" i="7"/>
  <c r="L271" i="7"/>
  <c r="O271" i="7"/>
  <c r="Z271" i="7"/>
  <c r="AA271" i="7"/>
  <c r="AE271" i="7"/>
  <c r="AF271" i="7"/>
  <c r="J272" i="7"/>
  <c r="AB272" i="7" s="1"/>
  <c r="L272" i="7"/>
  <c r="O272" i="7"/>
  <c r="Z272" i="7"/>
  <c r="AA272" i="7"/>
  <c r="AE272" i="7"/>
  <c r="AF272" i="7"/>
  <c r="R273" i="7"/>
  <c r="S273" i="7"/>
  <c r="V273" i="7"/>
  <c r="W273" i="7"/>
  <c r="X273" i="7"/>
  <c r="J274" i="7"/>
  <c r="L274" i="7"/>
  <c r="O274" i="7"/>
  <c r="Z274" i="7"/>
  <c r="AA274" i="7"/>
  <c r="AE274" i="7"/>
  <c r="AF274" i="7"/>
  <c r="J275" i="7"/>
  <c r="L275" i="7"/>
  <c r="O275" i="7"/>
  <c r="Z275" i="7"/>
  <c r="AA275" i="7"/>
  <c r="AE275" i="7"/>
  <c r="AF275" i="7"/>
  <c r="J276" i="7"/>
  <c r="L276" i="7"/>
  <c r="Z276" i="7"/>
  <c r="AA276" i="7"/>
  <c r="AE276" i="7"/>
  <c r="AF276" i="7"/>
  <c r="R277" i="7"/>
  <c r="S277" i="7"/>
  <c r="V277" i="7"/>
  <c r="W277" i="7"/>
  <c r="X277" i="7"/>
  <c r="J278" i="7"/>
  <c r="L278" i="7"/>
  <c r="O278" i="7"/>
  <c r="Z278" i="7"/>
  <c r="AA278" i="7"/>
  <c r="AE278" i="7"/>
  <c r="AF278" i="7"/>
  <c r="J279" i="7"/>
  <c r="AB279" i="7" s="1"/>
  <c r="L279" i="7"/>
  <c r="O279" i="7"/>
  <c r="Z279" i="7"/>
  <c r="AA279" i="7"/>
  <c r="AE279" i="7"/>
  <c r="AF279" i="7"/>
  <c r="J280" i="7"/>
  <c r="AB280" i="7" s="1"/>
  <c r="L280" i="7"/>
  <c r="O280" i="7"/>
  <c r="Z280" i="7"/>
  <c r="AA280" i="7"/>
  <c r="AE280" i="7"/>
  <c r="AF280" i="7"/>
  <c r="J281" i="7"/>
  <c r="AB281" i="7" s="1"/>
  <c r="L281" i="7"/>
  <c r="O281" i="7"/>
  <c r="Z281" i="7"/>
  <c r="AA281" i="7"/>
  <c r="AE281" i="7"/>
  <c r="AF281" i="7"/>
  <c r="J282" i="7"/>
  <c r="O282" i="7" s="1"/>
  <c r="L282" i="7"/>
  <c r="Z282" i="7"/>
  <c r="AA282" i="7"/>
  <c r="AB282" i="7"/>
  <c r="AE282" i="7"/>
  <c r="AF282" i="7"/>
  <c r="R283" i="7"/>
  <c r="S283" i="7"/>
  <c r="V283" i="7"/>
  <c r="W283" i="7"/>
  <c r="X283" i="7"/>
  <c r="J284" i="7"/>
  <c r="L284" i="7"/>
  <c r="O284" i="7"/>
  <c r="Z284" i="7"/>
  <c r="AA284" i="7"/>
  <c r="AE284" i="7"/>
  <c r="AF284" i="7"/>
  <c r="J285" i="7"/>
  <c r="L285" i="7"/>
  <c r="O285" i="7"/>
  <c r="Z285" i="7"/>
  <c r="AA285" i="7"/>
  <c r="AE285" i="7"/>
  <c r="AF285" i="7"/>
  <c r="J286" i="7"/>
  <c r="L286" i="7"/>
  <c r="O286" i="7"/>
  <c r="Z286" i="7"/>
  <c r="AA286" i="7"/>
  <c r="AE286" i="7"/>
  <c r="AF286" i="7"/>
  <c r="J287" i="7"/>
  <c r="L287" i="7"/>
  <c r="O287" i="7"/>
  <c r="Z287" i="7"/>
  <c r="AA287" i="7"/>
  <c r="AE287" i="7"/>
  <c r="AF287" i="7"/>
  <c r="J288" i="7"/>
  <c r="L288" i="7"/>
  <c r="Z288" i="7"/>
  <c r="AA288" i="7"/>
  <c r="AE288" i="7"/>
  <c r="AF288" i="7"/>
  <c r="R289" i="7"/>
  <c r="S289" i="7"/>
  <c r="V289" i="7"/>
  <c r="W289" i="7"/>
  <c r="X289" i="7"/>
  <c r="J290" i="7"/>
  <c r="AB290" i="7" s="1"/>
  <c r="AK289" i="7" s="1"/>
  <c r="L290" i="7"/>
  <c r="L289" i="7" s="1"/>
  <c r="O290" i="7"/>
  <c r="P289" i="7" s="1"/>
  <c r="Z290" i="7"/>
  <c r="AI289" i="7" s="1"/>
  <c r="AA290" i="7"/>
  <c r="AJ289" i="7" s="1"/>
  <c r="AE290" i="7"/>
  <c r="AF290" i="7"/>
  <c r="R291" i="7"/>
  <c r="S291" i="7"/>
  <c r="V291" i="7"/>
  <c r="W291" i="7"/>
  <c r="X291" i="7"/>
  <c r="J292" i="7"/>
  <c r="L292" i="7"/>
  <c r="O292" i="7"/>
  <c r="Z292" i="7"/>
  <c r="AA292" i="7"/>
  <c r="AE292" i="7"/>
  <c r="AF292" i="7"/>
  <c r="J293" i="7"/>
  <c r="L293" i="7"/>
  <c r="O293" i="7"/>
  <c r="Z293" i="7"/>
  <c r="AA293" i="7"/>
  <c r="AE293" i="7"/>
  <c r="AF293" i="7"/>
  <c r="J294" i="7"/>
  <c r="L294" i="7"/>
  <c r="O294" i="7"/>
  <c r="Z294" i="7"/>
  <c r="AA294" i="7"/>
  <c r="AE294" i="7"/>
  <c r="AF294" i="7"/>
  <c r="J295" i="7"/>
  <c r="L295" i="7"/>
  <c r="O295" i="7"/>
  <c r="Z295" i="7"/>
  <c r="AA295" i="7"/>
  <c r="AE295" i="7"/>
  <c r="AF295" i="7"/>
  <c r="J296" i="7"/>
  <c r="L296" i="7"/>
  <c r="O296" i="7"/>
  <c r="Z296" i="7"/>
  <c r="AA296" i="7"/>
  <c r="AE296" i="7"/>
  <c r="AF296" i="7"/>
  <c r="J297" i="7"/>
  <c r="L297" i="7"/>
  <c r="O297" i="7"/>
  <c r="Z297" i="7"/>
  <c r="AA297" i="7"/>
  <c r="AE297" i="7"/>
  <c r="AF297" i="7"/>
  <c r="J298" i="7"/>
  <c r="L298" i="7"/>
  <c r="Z298" i="7"/>
  <c r="AA298" i="7"/>
  <c r="AE298" i="7"/>
  <c r="AF298" i="7"/>
  <c r="R299" i="7"/>
  <c r="S299" i="7"/>
  <c r="V299" i="7"/>
  <c r="W299" i="7"/>
  <c r="X299" i="7"/>
  <c r="J300" i="7"/>
  <c r="AB300" i="7" s="1"/>
  <c r="L300" i="7"/>
  <c r="O300" i="7"/>
  <c r="Z300" i="7"/>
  <c r="AA300" i="7"/>
  <c r="AE300" i="7"/>
  <c r="AF300" i="7"/>
  <c r="J301" i="7"/>
  <c r="AB301" i="7" s="1"/>
  <c r="L301" i="7"/>
  <c r="O301" i="7"/>
  <c r="Z301" i="7"/>
  <c r="AA301" i="7"/>
  <c r="AE301" i="7"/>
  <c r="AF301" i="7"/>
  <c r="J302" i="7"/>
  <c r="AB302" i="7" s="1"/>
  <c r="L302" i="7"/>
  <c r="O302" i="7"/>
  <c r="Z302" i="7"/>
  <c r="AA302" i="7"/>
  <c r="AE302" i="7"/>
  <c r="AF302" i="7"/>
  <c r="O303" i="7"/>
  <c r="J303" i="7"/>
  <c r="AB303" i="7" s="1"/>
  <c r="L303" i="7"/>
  <c r="Z303" i="7"/>
  <c r="AA303" i="7"/>
  <c r="AE303" i="7"/>
  <c r="AF303" i="7"/>
  <c r="R304" i="7"/>
  <c r="S304" i="7"/>
  <c r="V304" i="7"/>
  <c r="W304" i="7"/>
  <c r="X304" i="7"/>
  <c r="J305" i="7"/>
  <c r="L305" i="7"/>
  <c r="O305" i="7"/>
  <c r="Z305" i="7"/>
  <c r="AA305" i="7"/>
  <c r="AE305" i="7"/>
  <c r="AF305" i="7"/>
  <c r="J306" i="7"/>
  <c r="L306" i="7"/>
  <c r="O306" i="7"/>
  <c r="Z306" i="7"/>
  <c r="AA306" i="7"/>
  <c r="AE306" i="7"/>
  <c r="AF306" i="7"/>
  <c r="J307" i="7"/>
  <c r="L307" i="7"/>
  <c r="O307" i="7"/>
  <c r="Z307" i="7"/>
  <c r="AA307" i="7"/>
  <c r="AE307" i="7"/>
  <c r="AF307" i="7"/>
  <c r="J308" i="7"/>
  <c r="L308" i="7"/>
  <c r="O308" i="7"/>
  <c r="Z308" i="7"/>
  <c r="AA308" i="7"/>
  <c r="AE308" i="7"/>
  <c r="AF308" i="7"/>
  <c r="J309" i="7"/>
  <c r="L309" i="7"/>
  <c r="O309" i="7"/>
  <c r="Z309" i="7"/>
  <c r="AA309" i="7"/>
  <c r="AE309" i="7"/>
  <c r="AF309" i="7"/>
  <c r="J310" i="7"/>
  <c r="L310" i="7"/>
  <c r="O310" i="7"/>
  <c r="Z310" i="7"/>
  <c r="AA310" i="7"/>
  <c r="AE310" i="7"/>
  <c r="AF310" i="7"/>
  <c r="J311" i="7"/>
  <c r="L311" i="7"/>
  <c r="Z311" i="7"/>
  <c r="AA311" i="7"/>
  <c r="AE311" i="7"/>
  <c r="AF311" i="7"/>
  <c r="R312" i="7"/>
  <c r="S312" i="7"/>
  <c r="V312" i="7"/>
  <c r="W312" i="7"/>
  <c r="X312" i="7"/>
  <c r="J313" i="7"/>
  <c r="AB313" i="7" s="1"/>
  <c r="L313" i="7"/>
  <c r="O313" i="7"/>
  <c r="Z313" i="7"/>
  <c r="AA313" i="7"/>
  <c r="AE313" i="7"/>
  <c r="AF313" i="7"/>
  <c r="J314" i="7"/>
  <c r="AB314" i="7" s="1"/>
  <c r="L314" i="7"/>
  <c r="O314" i="7"/>
  <c r="Z314" i="7"/>
  <c r="AA314" i="7"/>
  <c r="AE314" i="7"/>
  <c r="AF314" i="7"/>
  <c r="J315" i="7"/>
  <c r="AB315" i="7" s="1"/>
  <c r="L315" i="7"/>
  <c r="O315" i="7"/>
  <c r="Z315" i="7"/>
  <c r="AA315" i="7"/>
  <c r="AE315" i="7"/>
  <c r="AF315" i="7"/>
  <c r="J316" i="7"/>
  <c r="AB316" i="7" s="1"/>
  <c r="L316" i="7"/>
  <c r="O316" i="7"/>
  <c r="Z316" i="7"/>
  <c r="AA316" i="7"/>
  <c r="AE316" i="7"/>
  <c r="AF316" i="7"/>
  <c r="R317" i="7"/>
  <c r="S317" i="7"/>
  <c r="V317" i="7"/>
  <c r="W317" i="7"/>
  <c r="X317" i="7"/>
  <c r="J318" i="7"/>
  <c r="L318" i="7"/>
  <c r="O318" i="7"/>
  <c r="Z318" i="7"/>
  <c r="AA318" i="7"/>
  <c r="AE318" i="7"/>
  <c r="AF318" i="7"/>
  <c r="J319" i="7"/>
  <c r="L319" i="7"/>
  <c r="O319" i="7"/>
  <c r="Z319" i="7"/>
  <c r="AA319" i="7"/>
  <c r="AE319" i="7"/>
  <c r="AF319" i="7"/>
  <c r="T320" i="7"/>
  <c r="U320" i="7"/>
  <c r="V320" i="7"/>
  <c r="W320" i="7"/>
  <c r="X320" i="7"/>
  <c r="J321" i="7"/>
  <c r="AB321" i="7" s="1"/>
  <c r="L321" i="7"/>
  <c r="O321" i="7"/>
  <c r="Z321" i="7"/>
  <c r="AA321" i="7"/>
  <c r="AE321" i="7"/>
  <c r="AF321" i="7"/>
  <c r="J322" i="7"/>
  <c r="AB322" i="7" s="1"/>
  <c r="L322" i="7"/>
  <c r="O322" i="7"/>
  <c r="Z322" i="7"/>
  <c r="AA322" i="7"/>
  <c r="AE322" i="7"/>
  <c r="AF322" i="7"/>
  <c r="J323" i="7"/>
  <c r="AB323" i="7" s="1"/>
  <c r="L323" i="7"/>
  <c r="O323" i="7"/>
  <c r="Z323" i="7"/>
  <c r="AA323" i="7"/>
  <c r="AE323" i="7"/>
  <c r="AF323" i="7"/>
  <c r="J324" i="7"/>
  <c r="AB324" i="7" s="1"/>
  <c r="L324" i="7"/>
  <c r="O324" i="7"/>
  <c r="Z324" i="7"/>
  <c r="AA324" i="7"/>
  <c r="AE324" i="7"/>
  <c r="AF324" i="7"/>
  <c r="J325" i="7"/>
  <c r="AB325" i="7" s="1"/>
  <c r="L325" i="7"/>
  <c r="O325" i="7"/>
  <c r="Z325" i="7"/>
  <c r="AA325" i="7"/>
  <c r="AE325" i="7"/>
  <c r="AF325" i="7"/>
  <c r="J326" i="7"/>
  <c r="AB326" i="7" s="1"/>
  <c r="L326" i="7"/>
  <c r="O326" i="7"/>
  <c r="Z326" i="7"/>
  <c r="AA326" i="7"/>
  <c r="AE326" i="7"/>
  <c r="AF326" i="7"/>
  <c r="J327" i="7"/>
  <c r="AB327" i="7" s="1"/>
  <c r="L327" i="7"/>
  <c r="O327" i="7"/>
  <c r="Z327" i="7"/>
  <c r="AA327" i="7"/>
  <c r="AE327" i="7"/>
  <c r="AF327" i="7"/>
  <c r="J328" i="7"/>
  <c r="AB328" i="7" s="1"/>
  <c r="L328" i="7"/>
  <c r="O328" i="7"/>
  <c r="Z328" i="7"/>
  <c r="AA328" i="7"/>
  <c r="AE328" i="7"/>
  <c r="AF328" i="7"/>
  <c r="T329" i="7"/>
  <c r="U329" i="7"/>
  <c r="V329" i="7"/>
  <c r="W329" i="7"/>
  <c r="X329" i="7"/>
  <c r="J330" i="7"/>
  <c r="L330" i="7"/>
  <c r="O330" i="7"/>
  <c r="Z330" i="7"/>
  <c r="AA330" i="7"/>
  <c r="AE330" i="7"/>
  <c r="AF330" i="7"/>
  <c r="J331" i="7"/>
  <c r="L331" i="7"/>
  <c r="O331" i="7"/>
  <c r="Z331" i="7"/>
  <c r="AA331" i="7"/>
  <c r="AE331" i="7"/>
  <c r="AF331" i="7"/>
  <c r="J332" i="7"/>
  <c r="L332" i="7"/>
  <c r="O332" i="7"/>
  <c r="Z332" i="7"/>
  <c r="AA332" i="7"/>
  <c r="AE332" i="7"/>
  <c r="AF332" i="7"/>
  <c r="J333" i="7"/>
  <c r="L333" i="7"/>
  <c r="O333" i="7"/>
  <c r="Z333" i="7"/>
  <c r="AA333" i="7"/>
  <c r="AE333" i="7"/>
  <c r="AF333" i="7"/>
  <c r="J334" i="7"/>
  <c r="L334" i="7"/>
  <c r="O334" i="7"/>
  <c r="Z334" i="7"/>
  <c r="AA334" i="7"/>
  <c r="AE334" i="7"/>
  <c r="AF334" i="7"/>
  <c r="J335" i="7"/>
  <c r="L335" i="7"/>
  <c r="O335" i="7"/>
  <c r="Z335" i="7"/>
  <c r="AA335" i="7"/>
  <c r="AE335" i="7"/>
  <c r="AF335" i="7"/>
  <c r="J336" i="7"/>
  <c r="L336" i="7"/>
  <c r="O336" i="7"/>
  <c r="Z336" i="7"/>
  <c r="AA336" i="7"/>
  <c r="AE336" i="7"/>
  <c r="AF336" i="7"/>
  <c r="R337" i="7"/>
  <c r="S337" i="7"/>
  <c r="T337" i="7"/>
  <c r="U337" i="7"/>
  <c r="V337" i="7"/>
  <c r="W337" i="7"/>
  <c r="X337" i="7"/>
  <c r="J338" i="7"/>
  <c r="AB338" i="7" s="1"/>
  <c r="L338" i="7"/>
  <c r="Z338" i="7"/>
  <c r="AA338" i="7"/>
  <c r="AE338" i="7"/>
  <c r="AF338" i="7"/>
  <c r="O339" i="7"/>
  <c r="J339" i="7"/>
  <c r="AB339" i="7" s="1"/>
  <c r="L339" i="7"/>
  <c r="Z339" i="7"/>
  <c r="AA339" i="7"/>
  <c r="AE339" i="7"/>
  <c r="AF339" i="7"/>
  <c r="O340" i="7"/>
  <c r="J340" i="7"/>
  <c r="AB340" i="7" s="1"/>
  <c r="L340" i="7"/>
  <c r="Z340" i="7"/>
  <c r="AA340" i="7"/>
  <c r="AE340" i="7"/>
  <c r="AF340" i="7"/>
  <c r="O341" i="7"/>
  <c r="J341" i="7"/>
  <c r="AB341" i="7" s="1"/>
  <c r="L341" i="7"/>
  <c r="Z341" i="7"/>
  <c r="AA341" i="7"/>
  <c r="AE341" i="7"/>
  <c r="AF341" i="7"/>
  <c r="J342" i="7"/>
  <c r="AB342" i="7" s="1"/>
  <c r="L342" i="7"/>
  <c r="O342" i="7"/>
  <c r="Z342" i="7"/>
  <c r="AA342" i="7"/>
  <c r="AE342" i="7"/>
  <c r="AF342" i="7"/>
  <c r="J343" i="7"/>
  <c r="AB343" i="7" s="1"/>
  <c r="L343" i="7"/>
  <c r="Z343" i="7"/>
  <c r="AA343" i="7"/>
  <c r="AE343" i="7"/>
  <c r="O343" i="7" s="1"/>
  <c r="AF343" i="7"/>
  <c r="T345" i="7"/>
  <c r="U345" i="7"/>
  <c r="V345" i="7"/>
  <c r="W345" i="7"/>
  <c r="X345" i="7"/>
  <c r="J346" i="7"/>
  <c r="L346" i="7"/>
  <c r="O346" i="7"/>
  <c r="Z346" i="7"/>
  <c r="AA346" i="7"/>
  <c r="AE346" i="7"/>
  <c r="AF346" i="7"/>
  <c r="J347" i="7"/>
  <c r="L347" i="7"/>
  <c r="O347" i="7"/>
  <c r="Z347" i="7"/>
  <c r="AA347" i="7"/>
  <c r="AE347" i="7"/>
  <c r="AF347" i="7"/>
  <c r="J348" i="7"/>
  <c r="L348" i="7"/>
  <c r="O348" i="7"/>
  <c r="Z348" i="7"/>
  <c r="AA348" i="7"/>
  <c r="AE348" i="7"/>
  <c r="AF348" i="7"/>
  <c r="J349" i="7"/>
  <c r="L349" i="7"/>
  <c r="O349" i="7"/>
  <c r="Z349" i="7"/>
  <c r="AA349" i="7"/>
  <c r="AE349" i="7"/>
  <c r="AF349" i="7"/>
  <c r="J350" i="7"/>
  <c r="L350" i="7"/>
  <c r="O350" i="7"/>
  <c r="Z350" i="7"/>
  <c r="AA350" i="7"/>
  <c r="AE350" i="7"/>
  <c r="AF350" i="7"/>
  <c r="J351" i="7"/>
  <c r="L351" i="7"/>
  <c r="O351" i="7"/>
  <c r="Z351" i="7"/>
  <c r="AA351" i="7"/>
  <c r="AE351" i="7"/>
  <c r="AF351" i="7"/>
  <c r="J352" i="7"/>
  <c r="L352" i="7"/>
  <c r="O352" i="7"/>
  <c r="Z352" i="7"/>
  <c r="AA352" i="7"/>
  <c r="AE352" i="7"/>
  <c r="AF352" i="7"/>
  <c r="J353" i="7"/>
  <c r="L353" i="7"/>
  <c r="O353" i="7"/>
  <c r="Z353" i="7"/>
  <c r="AA353" i="7"/>
  <c r="AE353" i="7"/>
  <c r="AF353" i="7"/>
  <c r="J354" i="7"/>
  <c r="L354" i="7"/>
  <c r="O354" i="7"/>
  <c r="Z354" i="7"/>
  <c r="AA354" i="7"/>
  <c r="AE354" i="7"/>
  <c r="AF354" i="7"/>
  <c r="J355" i="7"/>
  <c r="L355" i="7"/>
  <c r="O355" i="7"/>
  <c r="Z355" i="7"/>
  <c r="AA355" i="7"/>
  <c r="AE355" i="7"/>
  <c r="AF355" i="7"/>
  <c r="R357" i="7"/>
  <c r="S357" i="7"/>
  <c r="T357" i="7"/>
  <c r="U357" i="7"/>
  <c r="X357" i="7"/>
  <c r="J358" i="7"/>
  <c r="AB358" i="7" s="1"/>
  <c r="AK357" i="7" s="1"/>
  <c r="L358" i="7"/>
  <c r="L357" i="7" s="1"/>
  <c r="L356" i="7" s="1"/>
  <c r="O358" i="7"/>
  <c r="P357" i="7" s="1"/>
  <c r="Z358" i="7"/>
  <c r="AI357" i="7" s="1"/>
  <c r="AA358" i="7"/>
  <c r="AJ357" i="7" s="1"/>
  <c r="AE358" i="7"/>
  <c r="AF358" i="7"/>
  <c r="R360" i="7"/>
  <c r="S360" i="7"/>
  <c r="T360" i="7"/>
  <c r="U360" i="7"/>
  <c r="X360" i="7"/>
  <c r="J361" i="7"/>
  <c r="L361" i="7"/>
  <c r="L360" i="7" s="1"/>
  <c r="L359" i="7" s="1"/>
  <c r="O361" i="7"/>
  <c r="P360" i="7" s="1"/>
  <c r="Z361" i="7"/>
  <c r="AI360" i="7" s="1"/>
  <c r="AA361" i="7"/>
  <c r="AJ360" i="7" s="1"/>
  <c r="AE361" i="7"/>
  <c r="AF361" i="7"/>
  <c r="AB14" i="7" l="1"/>
  <c r="J362" i="7"/>
  <c r="AI277" i="7"/>
  <c r="L251" i="7"/>
  <c r="AI251" i="7"/>
  <c r="L114" i="7"/>
  <c r="AI283" i="7"/>
  <c r="AJ317" i="7"/>
  <c r="AJ329" i="7"/>
  <c r="L345" i="7"/>
  <c r="L344" i="7" s="1"/>
  <c r="L329" i="7"/>
  <c r="L317" i="7"/>
  <c r="AJ291" i="7"/>
  <c r="L214" i="7"/>
  <c r="L195" i="7"/>
  <c r="AJ161" i="7"/>
  <c r="AJ345" i="7"/>
  <c r="AI337" i="7"/>
  <c r="L304" i="7"/>
  <c r="AJ182" i="7"/>
  <c r="AJ96" i="7"/>
  <c r="AA362" i="7"/>
  <c r="AJ304" i="7"/>
  <c r="P299" i="7"/>
  <c r="U299" i="7" s="1"/>
  <c r="L291" i="7"/>
  <c r="L273" i="7"/>
  <c r="L256" i="7"/>
  <c r="L89" i="7"/>
  <c r="AJ42" i="7"/>
  <c r="AK231" i="7"/>
  <c r="AK242" i="7"/>
  <c r="AI345" i="7"/>
  <c r="AK299" i="7"/>
  <c r="AK320" i="7"/>
  <c r="AI312" i="7"/>
  <c r="AI299" i="7"/>
  <c r="L283" i="7"/>
  <c r="AJ283" i="7"/>
  <c r="AJ277" i="7"/>
  <c r="AJ242" i="7"/>
  <c r="P231" i="7"/>
  <c r="U231" i="7" s="1"/>
  <c r="AI214" i="7"/>
  <c r="AK202" i="7"/>
  <c r="AI195" i="7"/>
  <c r="L75" i="7"/>
  <c r="AJ51" i="7"/>
  <c r="AJ320" i="7"/>
  <c r="AI317" i="7"/>
  <c r="P312" i="7"/>
  <c r="U312" i="7" s="1"/>
  <c r="AI304" i="7"/>
  <c r="AI291" i="7"/>
  <c r="AJ256" i="7"/>
  <c r="AJ251" i="7"/>
  <c r="AI242" i="7"/>
  <c r="AJ223" i="7"/>
  <c r="AJ202" i="7"/>
  <c r="AJ132" i="7"/>
  <c r="P119" i="7"/>
  <c r="AJ119" i="7"/>
  <c r="P42" i="7"/>
  <c r="AK337" i="7"/>
  <c r="AI320" i="7"/>
  <c r="AK312" i="7"/>
  <c r="AJ267" i="7"/>
  <c r="AI256" i="7"/>
  <c r="P242" i="7"/>
  <c r="S242" i="7" s="1"/>
  <c r="AJ231" i="7"/>
  <c r="AI223" i="7"/>
  <c r="L13" i="7"/>
  <c r="AJ337" i="7"/>
  <c r="AI329" i="7"/>
  <c r="P320" i="7"/>
  <c r="S320" i="7" s="1"/>
  <c r="AJ312" i="7"/>
  <c r="AJ299" i="7"/>
  <c r="AI267" i="7"/>
  <c r="L242" i="7"/>
  <c r="AI231" i="7"/>
  <c r="P223" i="7"/>
  <c r="U223" i="7" s="1"/>
  <c r="AJ214" i="7"/>
  <c r="P202" i="7"/>
  <c r="W202" i="7" s="1"/>
  <c r="AJ195" i="7"/>
  <c r="AI114" i="7"/>
  <c r="P182" i="7"/>
  <c r="U182" i="7" s="1"/>
  <c r="P96" i="7"/>
  <c r="U96" i="7" s="1"/>
  <c r="S254" i="7"/>
  <c r="U289" i="7"/>
  <c r="W357" i="7"/>
  <c r="T229" i="7"/>
  <c r="T161" i="7"/>
  <c r="T277" i="7"/>
  <c r="V360" i="7"/>
  <c r="P337" i="7"/>
  <c r="T299" i="7"/>
  <c r="O338" i="7"/>
  <c r="AB284" i="7"/>
  <c r="O276" i="7"/>
  <c r="P273" i="7" s="1"/>
  <c r="AB276" i="7"/>
  <c r="R254" i="7"/>
  <c r="AI202" i="7"/>
  <c r="AK182" i="7"/>
  <c r="L182" i="7"/>
  <c r="P152" i="7"/>
  <c r="U152" i="7" s="1"/>
  <c r="P345" i="7"/>
  <c r="P329" i="7"/>
  <c r="P317" i="7"/>
  <c r="AB286" i="7"/>
  <c r="AB285" i="7"/>
  <c r="P277" i="7"/>
  <c r="AB266" i="7"/>
  <c r="AB265" i="7"/>
  <c r="AB264" i="7"/>
  <c r="AB263" i="7"/>
  <c r="AB262" i="7"/>
  <c r="AB261" i="7"/>
  <c r="AB260" i="7"/>
  <c r="AB259" i="7"/>
  <c r="AB258" i="7"/>
  <c r="AB257" i="7"/>
  <c r="R240" i="7"/>
  <c r="AB222" i="7"/>
  <c r="O222" i="7"/>
  <c r="O221" i="7"/>
  <c r="AB221" i="7"/>
  <c r="AB220" i="7"/>
  <c r="O220" i="7"/>
  <c r="O219" i="7"/>
  <c r="AB219" i="7"/>
  <c r="AB218" i="7"/>
  <c r="O218" i="7"/>
  <c r="O217" i="7"/>
  <c r="AB217" i="7"/>
  <c r="AB216" i="7"/>
  <c r="O216" i="7"/>
  <c r="AB215" i="7"/>
  <c r="L152" i="7"/>
  <c r="L132" i="7"/>
  <c r="AB361" i="7"/>
  <c r="AK360" i="7" s="1"/>
  <c r="L337" i="7"/>
  <c r="L299" i="7"/>
  <c r="O298" i="7"/>
  <c r="P291" i="7" s="1"/>
  <c r="AB298" i="7"/>
  <c r="AB297" i="7"/>
  <c r="AB296" i="7"/>
  <c r="AB295" i="7"/>
  <c r="AB294" i="7"/>
  <c r="AB293" i="7"/>
  <c r="AB292" i="7"/>
  <c r="AB288" i="7"/>
  <c r="O288" i="7"/>
  <c r="P283" i="7" s="1"/>
  <c r="AB287" i="7"/>
  <c r="R247" i="7"/>
  <c r="AB241" i="7"/>
  <c r="AK240" i="7" s="1"/>
  <c r="AI182" i="7"/>
  <c r="L161" i="7"/>
  <c r="AB158" i="7"/>
  <c r="AB154" i="7"/>
  <c r="AI119" i="7"/>
  <c r="AB117" i="7"/>
  <c r="O117" i="7"/>
  <c r="P114" i="7" s="1"/>
  <c r="U114" i="7" s="1"/>
  <c r="AB116" i="7"/>
  <c r="AJ114" i="7"/>
  <c r="AB115" i="7"/>
  <c r="AK96" i="7"/>
  <c r="L96" i="7"/>
  <c r="Z362" i="7"/>
  <c r="AB355" i="7"/>
  <c r="AB354" i="7"/>
  <c r="AB353" i="7"/>
  <c r="AB352" i="7"/>
  <c r="AB351" i="7"/>
  <c r="AB350" i="7"/>
  <c r="AB349" i="7"/>
  <c r="AB348" i="7"/>
  <c r="AB347" i="7"/>
  <c r="AB346" i="7"/>
  <c r="AB336" i="7"/>
  <c r="AB335" i="7"/>
  <c r="AB334" i="7"/>
  <c r="AB333" i="7"/>
  <c r="AB332" i="7"/>
  <c r="AB331" i="7"/>
  <c r="AB330" i="7"/>
  <c r="L320" i="7"/>
  <c r="AB319" i="7"/>
  <c r="AB318" i="7"/>
  <c r="L312" i="7"/>
  <c r="O311" i="7"/>
  <c r="P304" i="7" s="1"/>
  <c r="AB311" i="7"/>
  <c r="AB310" i="7"/>
  <c r="AB309" i="7"/>
  <c r="AB308" i="7"/>
  <c r="AB307" i="7"/>
  <c r="AB306" i="7"/>
  <c r="AB305" i="7"/>
  <c r="AB278" i="7"/>
  <c r="AK277" i="7" s="1"/>
  <c r="AB275" i="7"/>
  <c r="AJ273" i="7"/>
  <c r="AB274" i="7"/>
  <c r="AB271" i="7"/>
  <c r="AK267" i="7" s="1"/>
  <c r="P267" i="7"/>
  <c r="P256" i="7"/>
  <c r="AB248" i="7"/>
  <c r="AK247" i="7" s="1"/>
  <c r="S247" i="7"/>
  <c r="AK223" i="7"/>
  <c r="L223" i="7"/>
  <c r="AI132" i="7"/>
  <c r="AK119" i="7"/>
  <c r="L119" i="7"/>
  <c r="AI96" i="7"/>
  <c r="AB72" i="7"/>
  <c r="AB17" i="7"/>
  <c r="AI273" i="7"/>
  <c r="L267" i="7"/>
  <c r="P251" i="7"/>
  <c r="L231" i="7"/>
  <c r="U229" i="7"/>
  <c r="AB230" i="7"/>
  <c r="AK229" i="7" s="1"/>
  <c r="AI161" i="7"/>
  <c r="AI152" i="7"/>
  <c r="AB93" i="7"/>
  <c r="AB92" i="7"/>
  <c r="AB64" i="7"/>
  <c r="AI42" i="7"/>
  <c r="AB22" i="7"/>
  <c r="AJ19" i="7"/>
  <c r="AB38" i="7"/>
  <c r="L277" i="7"/>
  <c r="AB253" i="7"/>
  <c r="AB252" i="7"/>
  <c r="L202" i="7"/>
  <c r="O201" i="7"/>
  <c r="P195" i="7" s="1"/>
  <c r="AB201" i="7"/>
  <c r="AB200" i="7"/>
  <c r="AB199" i="7"/>
  <c r="AB198" i="7"/>
  <c r="AB197" i="7"/>
  <c r="AB196" i="7"/>
  <c r="AI75" i="7"/>
  <c r="AB56" i="7"/>
  <c r="AB30" i="7"/>
  <c r="O181" i="7"/>
  <c r="P161" i="7" s="1"/>
  <c r="P132" i="7"/>
  <c r="AB91" i="7"/>
  <c r="AJ89" i="7"/>
  <c r="AB90" i="7"/>
  <c r="AB87" i="7"/>
  <c r="AB79" i="7"/>
  <c r="AB77" i="7"/>
  <c r="AB60" i="7"/>
  <c r="P51" i="7"/>
  <c r="AB47" i="7"/>
  <c r="AB43" i="7"/>
  <c r="AB26" i="7"/>
  <c r="AI19" i="7"/>
  <c r="P13" i="7"/>
  <c r="AK161" i="7"/>
  <c r="AJ152" i="7"/>
  <c r="AB141" i="7"/>
  <c r="AB140" i="7"/>
  <c r="AB139" i="7"/>
  <c r="AB138" i="7"/>
  <c r="AB137" i="7"/>
  <c r="AB136" i="7"/>
  <c r="AB135" i="7"/>
  <c r="AB134" i="7"/>
  <c r="AB133" i="7"/>
  <c r="O94" i="7"/>
  <c r="P89" i="7" s="1"/>
  <c r="AB94" i="7"/>
  <c r="AB83" i="7"/>
  <c r="AB68" i="7"/>
  <c r="AB52" i="7"/>
  <c r="AB34" i="7"/>
  <c r="L19" i="7"/>
  <c r="L12" i="7" s="1"/>
  <c r="AJ13" i="7"/>
  <c r="P75" i="7"/>
  <c r="L51" i="7"/>
  <c r="L42" i="7"/>
  <c r="AI13" i="7"/>
  <c r="AI89" i="7"/>
  <c r="AJ75" i="7"/>
  <c r="AI51" i="7"/>
  <c r="O40" i="7"/>
  <c r="P19" i="7" s="1"/>
  <c r="U19" i="7" s="1"/>
  <c r="AK42" i="7" l="1"/>
  <c r="L95" i="7"/>
  <c r="L41" i="7"/>
  <c r="AK132" i="7"/>
  <c r="AK273" i="7"/>
  <c r="AK329" i="7"/>
  <c r="AK251" i="7"/>
  <c r="L213" i="7"/>
  <c r="AK317" i="7"/>
  <c r="L74" i="7"/>
  <c r="AK214" i="7"/>
  <c r="AK152" i="7"/>
  <c r="AK345" i="7"/>
  <c r="AK291" i="7"/>
  <c r="L239" i="7"/>
  <c r="AK75" i="7"/>
  <c r="L118" i="7"/>
  <c r="U161" i="7"/>
  <c r="U51" i="7"/>
  <c r="T96" i="7"/>
  <c r="T19" i="7"/>
  <c r="U13" i="7"/>
  <c r="U89" i="7"/>
  <c r="T114" i="7"/>
  <c r="T75" i="7"/>
  <c r="U195" i="7"/>
  <c r="T182" i="7"/>
  <c r="R267" i="7"/>
  <c r="S256" i="7"/>
  <c r="V202" i="7"/>
  <c r="R251" i="7"/>
  <c r="T317" i="7"/>
  <c r="T291" i="7"/>
  <c r="AK51" i="7"/>
  <c r="T13" i="7"/>
  <c r="AK195" i="7"/>
  <c r="X214" i="7"/>
  <c r="AK13" i="7"/>
  <c r="AB362" i="7"/>
  <c r="T132" i="7"/>
  <c r="AK304" i="7"/>
  <c r="U317" i="7"/>
  <c r="S329" i="7"/>
  <c r="U119" i="7"/>
  <c r="T223" i="7"/>
  <c r="T273" i="7"/>
  <c r="R329" i="7"/>
  <c r="T283" i="7"/>
  <c r="R320" i="7"/>
  <c r="T195" i="7"/>
  <c r="U42" i="7"/>
  <c r="T89" i="7"/>
  <c r="R256" i="7"/>
  <c r="T51" i="7"/>
  <c r="T231" i="7"/>
  <c r="U304" i="7"/>
  <c r="S240" i="7"/>
  <c r="V357" i="7"/>
  <c r="R345" i="7"/>
  <c r="U283" i="7"/>
  <c r="T304" i="7"/>
  <c r="U132" i="7"/>
  <c r="AK89" i="7"/>
  <c r="T42" i="7"/>
  <c r="T119" i="7"/>
  <c r="S251" i="7"/>
  <c r="AK19" i="7"/>
  <c r="R242" i="7"/>
  <c r="U273" i="7"/>
  <c r="U277" i="7"/>
  <c r="AK114" i="7"/>
  <c r="T152" i="7"/>
  <c r="S267" i="7"/>
  <c r="U291" i="7"/>
  <c r="W360" i="7"/>
  <c r="O215" i="7"/>
  <c r="P214" i="7" s="1"/>
  <c r="AK256" i="7"/>
  <c r="AK283" i="7"/>
  <c r="T312" i="7"/>
  <c r="T289" i="7"/>
  <c r="S345" i="7" l="1"/>
  <c r="U75" i="7"/>
  <c r="C16" i="5" l="1"/>
  <c r="F4" i="6"/>
  <c r="F5" i="6"/>
  <c r="F6" i="6"/>
  <c r="F7" i="6"/>
  <c r="F8" i="6"/>
  <c r="F9" i="6"/>
  <c r="F10" i="6"/>
  <c r="F11" i="6"/>
  <c r="F21" i="6"/>
  <c r="F22" i="6"/>
  <c r="F25" i="6"/>
  <c r="F26" i="6"/>
  <c r="F27" i="6"/>
  <c r="F31" i="6"/>
  <c r="F61" i="6"/>
  <c r="F62" i="6"/>
  <c r="F63" i="6"/>
  <c r="F64" i="6"/>
  <c r="F65" i="6"/>
  <c r="F73" i="6"/>
  <c r="F74" i="6"/>
  <c r="F75" i="6"/>
  <c r="F76" i="6"/>
  <c r="F77" i="6"/>
  <c r="F78" i="6"/>
  <c r="F96" i="6" l="1"/>
  <c r="C17" i="5" s="1"/>
  <c r="D17" i="5" s="1"/>
  <c r="E17" i="5" l="1"/>
  <c r="D16" i="5" l="1"/>
  <c r="D19" i="5" s="1"/>
  <c r="C19" i="5"/>
  <c r="E16" i="5" l="1"/>
  <c r="E19" i="5" s="1"/>
</calcChain>
</file>

<file path=xl/sharedStrings.xml><?xml version="1.0" encoding="utf-8"?>
<sst xmlns="http://schemas.openxmlformats.org/spreadsheetml/2006/main" count="2184" uniqueCount="1126">
  <si>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</si>
  <si>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</si>
  <si>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</si>
  <si>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</si>
  <si>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</si>
  <si>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</si>
  <si>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</si>
  <si>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</si>
  <si>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</si>
  <si>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</si>
  <si>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</si>
  <si>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</si>
  <si>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</si>
  <si>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</si>
  <si>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</si>
  <si>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</si>
  <si>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</si>
  <si>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</si>
  <si>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</si>
  <si>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</si>
  <si>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</si>
  <si>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</si>
  <si>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</si>
  <si>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</si>
  <si>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</si>
  <si>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</si>
  <si>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</si>
  <si>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</si>
  <si>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</si>
  <si>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</si>
  <si>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</si>
  <si>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</si>
  <si>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</si>
  <si>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</si>
  <si>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</si>
  <si>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</si>
  <si>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</si>
  <si>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</si>
  <si>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</si>
  <si>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</si>
  <si>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</si>
  <si>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</si>
  <si>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</si>
  <si>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</si>
  <si>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</si>
  <si>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</si>
  <si>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</si>
  <si>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</si>
  <si>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</si>
  <si>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</si>
  <si>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</si>
  <si>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</si>
  <si>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</si>
  <si>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</si>
  <si>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</si>
  <si>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</si>
  <si>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</si>
  <si>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</si>
  <si>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</si>
  <si>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</si>
  <si>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</si>
  <si>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</si>
  <si>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</si>
  <si>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</si>
  <si>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</si>
  <si>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</si>
  <si>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</si>
  <si>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</si>
  <si>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</si>
  <si>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</si>
  <si>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</si>
  <si>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</si>
  <si>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</si>
  <si>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</si>
  <si>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</si>
  <si>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</si>
  <si>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</si>
  <si>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</si>
  <si>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</si>
  <si>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</si>
  <si>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</si>
  <si>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</si>
  <si>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</si>
  <si>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</si>
  <si>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</si>
  <si>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</si>
  <si>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</si>
  <si>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</si>
  <si>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</si>
  <si>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</si>
  <si>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</si>
  <si>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</si>
  <si>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</si>
  <si>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</si>
  <si>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</si>
  <si>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</si>
  <si>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</si>
  <si>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</si>
  <si>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</si>
  <si>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</si>
  <si>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</si>
  <si>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</si>
  <si>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</si>
  <si>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</si>
  <si>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</si>
  <si>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</si>
  <si>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</si>
  <si>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</si>
  <si>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</si>
  <si>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</si>
  <si>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</si>
  <si>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</si>
  <si>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</si>
  <si>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</si>
  <si>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</si>
  <si>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</si>
  <si>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</si>
  <si>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</si>
  <si>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</si>
  <si>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</si>
  <si>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</si>
  <si>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</si>
  <si>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</si>
  <si>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</si>
  <si>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</si>
  <si>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</si>
  <si>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</si>
  <si>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</si>
  <si>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</si>
  <si>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</si>
  <si>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</si>
  <si>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</si>
  <si>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</si>
  <si>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</si>
  <si>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</si>
  <si>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</si>
  <si>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</si>
  <si>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</si>
  <si>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</si>
  <si>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</si>
  <si>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</si>
  <si>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</si>
  <si>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</si>
  <si>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</si>
  <si>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</si>
  <si>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</si>
  <si>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</si>
  <si>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</si>
  <si>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</si>
  <si>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</si>
  <si>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</si>
  <si>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</si>
  <si>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</si>
  <si>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</si>
  <si>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</si>
  <si>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</si>
  <si>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</si>
  <si>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</si>
  <si>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</si>
  <si>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</si>
  <si>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</si>
  <si>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</si>
  <si>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</si>
  <si>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</si>
  <si>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</si>
  <si>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</si>
  <si>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</si>
  <si>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</si>
  <si>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</si>
  <si>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</si>
  <si>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</si>
  <si>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</si>
  <si>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</si>
  <si>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</si>
  <si>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</si>
  <si>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</si>
  <si>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</si>
  <si>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</si>
  <si>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</si>
  <si>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</si>
  <si>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</si>
  <si>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</si>
  <si>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</si>
  <si>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</si>
  <si>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</si>
  <si>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</si>
  <si>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</si>
  <si>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</si>
  <si>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</si>
  <si>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</si>
  <si>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</si>
  <si>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</si>
  <si>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</si>
  <si>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</si>
  <si>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</si>
  <si>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</si>
  <si>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</si>
  <si>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</si>
  <si>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</si>
  <si>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</si>
  <si>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</si>
  <si>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</si>
  <si>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</si>
  <si>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</si>
  <si>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</si>
  <si>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</si>
  <si>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</si>
  <si>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</si>
  <si>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</si>
  <si>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</si>
  <si>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</si>
  <si>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</si>
  <si>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</si>
  <si>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</si>
  <si>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</si>
  <si>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</si>
  <si>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</si>
  <si>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</si>
  <si>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</si>
  <si>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</si>
  <si>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</si>
  <si>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</si>
  <si>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</si>
  <si>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</si>
  <si>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</si>
  <si>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</si>
  <si>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</si>
  <si>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</si>
  <si>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</si>
  <si>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</si>
  <si>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</si>
  <si>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</si>
  <si>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</si>
  <si>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</si>
  <si>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</si>
  <si>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</si>
  <si>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</si>
  <si>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</si>
  <si>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</si>
  <si>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</si>
  <si>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</si>
  <si>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</si>
  <si>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</si>
  <si>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</si>
  <si>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</si>
  <si>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</si>
  <si>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</si>
  <si>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</si>
  <si>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</si>
  <si>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</si>
  <si>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</si>
  <si>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</si>
  <si>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</si>
  <si>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</si>
  <si>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</si>
  <si>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</si>
  <si>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</si>
  <si>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</si>
  <si>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</si>
  <si>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</si>
  <si>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</si>
  <si>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</si>
  <si>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</si>
  <si>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</si>
  <si>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</si>
  <si>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</si>
  <si>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</si>
  <si>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</si>
  <si>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</si>
  <si>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</si>
  <si>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</si>
  <si>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</si>
  <si>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</si>
  <si>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</si>
  <si>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</si>
  <si>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</si>
  <si>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</si>
  <si>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</si>
  <si>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</si>
  <si>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</si>
  <si>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</si>
  <si>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</si>
  <si>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</si>
  <si>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</si>
  <si>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</si>
  <si>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</si>
  <si>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</si>
  <si>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</si>
  <si>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</si>
  <si>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</si>
  <si>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</si>
  <si>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</si>
  <si>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</si>
  <si>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</si>
  <si>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</si>
  <si>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</si>
  <si>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</si>
  <si>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</si>
  <si>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</si>
  <si>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</si>
  <si>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</si>
  <si>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</si>
  <si>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</si>
  <si>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</si>
  <si>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</si>
  <si>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Objekt</t>
  </si>
  <si>
    <t>001</t>
  </si>
  <si>
    <t>002</t>
  </si>
  <si>
    <t>003</t>
  </si>
  <si>
    <t>004</t>
  </si>
  <si>
    <t>005</t>
  </si>
  <si>
    <t>006</t>
  </si>
  <si>
    <t>010</t>
  </si>
  <si>
    <t>011</t>
  </si>
  <si>
    <t>Kód</t>
  </si>
  <si>
    <t>732</t>
  </si>
  <si>
    <t>48430400VD</t>
  </si>
  <si>
    <t>48430420VD</t>
  </si>
  <si>
    <t>732229631R00</t>
  </si>
  <si>
    <t>732229632R00</t>
  </si>
  <si>
    <t>998732201R00</t>
  </si>
  <si>
    <t>734</t>
  </si>
  <si>
    <t>38822093.A</t>
  </si>
  <si>
    <t>42201413VD</t>
  </si>
  <si>
    <t>4220143aVD</t>
  </si>
  <si>
    <t>4221097VD</t>
  </si>
  <si>
    <t>4221100VD</t>
  </si>
  <si>
    <t>4221102VD</t>
  </si>
  <si>
    <t>422412VD</t>
  </si>
  <si>
    <t>422449VD</t>
  </si>
  <si>
    <t>42266620</t>
  </si>
  <si>
    <t>422920VD</t>
  </si>
  <si>
    <t>7340010VD</t>
  </si>
  <si>
    <t>734109212R00</t>
  </si>
  <si>
    <t>734109214R00</t>
  </si>
  <si>
    <t>734109311R00</t>
  </si>
  <si>
    <t>734109313R00</t>
  </si>
  <si>
    <t>734109314R00</t>
  </si>
  <si>
    <t>734209118R00</t>
  </si>
  <si>
    <t>734391114R00</t>
  </si>
  <si>
    <t>734419133R00</t>
  </si>
  <si>
    <t>998734201R00</t>
  </si>
  <si>
    <t>426651VD</t>
  </si>
  <si>
    <t>4840887VD</t>
  </si>
  <si>
    <t>4840889VD</t>
  </si>
  <si>
    <t>7321003bVD</t>
  </si>
  <si>
    <t>732103bVD</t>
  </si>
  <si>
    <t>732126VD</t>
  </si>
  <si>
    <t>732429112R00</t>
  </si>
  <si>
    <t>4220131VD</t>
  </si>
  <si>
    <t>422029VD</t>
  </si>
  <si>
    <t>422603VD</t>
  </si>
  <si>
    <t>422855aVD</t>
  </si>
  <si>
    <t>55111531VD</t>
  </si>
  <si>
    <t>55111532VD</t>
  </si>
  <si>
    <t>55111533VD</t>
  </si>
  <si>
    <t>7340018VD</t>
  </si>
  <si>
    <t>734140823R00</t>
  </si>
  <si>
    <t>734149114R00</t>
  </si>
  <si>
    <t>734209113R00</t>
  </si>
  <si>
    <t>734209114R00</t>
  </si>
  <si>
    <t>734209115R00</t>
  </si>
  <si>
    <t>734209115RT2</t>
  </si>
  <si>
    <t>734209116R00</t>
  </si>
  <si>
    <t>734234143R00</t>
  </si>
  <si>
    <t>722</t>
  </si>
  <si>
    <t>31944376</t>
  </si>
  <si>
    <t>4220128VD</t>
  </si>
  <si>
    <t>422409VD</t>
  </si>
  <si>
    <t>55100006VD</t>
  </si>
  <si>
    <t>55111535VD</t>
  </si>
  <si>
    <t>722235523R00</t>
  </si>
  <si>
    <t>722235653R00</t>
  </si>
  <si>
    <t>722237244R00</t>
  </si>
  <si>
    <t>722239101R00</t>
  </si>
  <si>
    <t>722239103R00</t>
  </si>
  <si>
    <t>722239105R00</t>
  </si>
  <si>
    <t>998722201R00</t>
  </si>
  <si>
    <t>426601VD</t>
  </si>
  <si>
    <t>4840084VD</t>
  </si>
  <si>
    <t>732329222R00</t>
  </si>
  <si>
    <t>732429111R00</t>
  </si>
  <si>
    <t>38821459.A</t>
  </si>
  <si>
    <t>55111536VD</t>
  </si>
  <si>
    <t>55117830</t>
  </si>
  <si>
    <t>722220862R00</t>
  </si>
  <si>
    <t>722223181R00</t>
  </si>
  <si>
    <t>722231162R00</t>
  </si>
  <si>
    <t>722235526R00</t>
  </si>
  <si>
    <t>722237625R00</t>
  </si>
  <si>
    <t>722239102R00</t>
  </si>
  <si>
    <t>722239106R00</t>
  </si>
  <si>
    <t>722260813R00</t>
  </si>
  <si>
    <t>722269113R00</t>
  </si>
  <si>
    <t>4840888VD</t>
  </si>
  <si>
    <t>732339103R00</t>
  </si>
  <si>
    <t>713</t>
  </si>
  <si>
    <t>7130231VD</t>
  </si>
  <si>
    <t>7130241VD</t>
  </si>
  <si>
    <t>7130251VD</t>
  </si>
  <si>
    <t>7130261VD</t>
  </si>
  <si>
    <t>713301aVD</t>
  </si>
  <si>
    <t>713302aVD</t>
  </si>
  <si>
    <t>713303aVD</t>
  </si>
  <si>
    <t>713303bVD</t>
  </si>
  <si>
    <t>713305aVD</t>
  </si>
  <si>
    <t>713306aVD</t>
  </si>
  <si>
    <t>713306bVD</t>
  </si>
  <si>
    <t>998713201R00</t>
  </si>
  <si>
    <t>63154530</t>
  </si>
  <si>
    <t>63154531</t>
  </si>
  <si>
    <t>63154532</t>
  </si>
  <si>
    <t>63154534</t>
  </si>
  <si>
    <t>63154535</t>
  </si>
  <si>
    <t>63154570</t>
  </si>
  <si>
    <t>63154571</t>
  </si>
  <si>
    <t>63154572</t>
  </si>
  <si>
    <t>63154574</t>
  </si>
  <si>
    <t>63154575</t>
  </si>
  <si>
    <t>63154602</t>
  </si>
  <si>
    <t>63154603</t>
  </si>
  <si>
    <t>63154605</t>
  </si>
  <si>
    <t>63154606</t>
  </si>
  <si>
    <t>63154608</t>
  </si>
  <si>
    <t>722182011R00</t>
  </si>
  <si>
    <t>722182014R00</t>
  </si>
  <si>
    <t>722182016R00</t>
  </si>
  <si>
    <t>733</t>
  </si>
  <si>
    <t>733121150R00</t>
  </si>
  <si>
    <t>733121151R00</t>
  </si>
  <si>
    <t>733121154R00</t>
  </si>
  <si>
    <t>733121155R00</t>
  </si>
  <si>
    <t>733121159R00</t>
  </si>
  <si>
    <t>733121162R00</t>
  </si>
  <si>
    <t>733121165R00</t>
  </si>
  <si>
    <t>998733201R00</t>
  </si>
  <si>
    <t>38832722</t>
  </si>
  <si>
    <t>38832943</t>
  </si>
  <si>
    <t>38841251</t>
  </si>
  <si>
    <t>42213700</t>
  </si>
  <si>
    <t>42234500</t>
  </si>
  <si>
    <t>55111540VD</t>
  </si>
  <si>
    <t>55111541aVD</t>
  </si>
  <si>
    <t>7340002VD</t>
  </si>
  <si>
    <t>7340003VD</t>
  </si>
  <si>
    <t>7340005VD</t>
  </si>
  <si>
    <t>734209103R00</t>
  </si>
  <si>
    <t>734209124R00</t>
  </si>
  <si>
    <t>734209125R00</t>
  </si>
  <si>
    <t>734419111R00</t>
  </si>
  <si>
    <t>734429101R00</t>
  </si>
  <si>
    <t>734494111R00</t>
  </si>
  <si>
    <t>734494121R00</t>
  </si>
  <si>
    <t>767</t>
  </si>
  <si>
    <t>42310112</t>
  </si>
  <si>
    <t>42310113</t>
  </si>
  <si>
    <t>42310114</t>
  </si>
  <si>
    <t>42310115</t>
  </si>
  <si>
    <t>42310116</t>
  </si>
  <si>
    <t>42310118</t>
  </si>
  <si>
    <t>42310120</t>
  </si>
  <si>
    <t>42310122</t>
  </si>
  <si>
    <t>42391764</t>
  </si>
  <si>
    <t>76701VD</t>
  </si>
  <si>
    <t>76702VD</t>
  </si>
  <si>
    <t>998767201R00</t>
  </si>
  <si>
    <t>783</t>
  </si>
  <si>
    <t>78303VD</t>
  </si>
  <si>
    <t>783401812R00</t>
  </si>
  <si>
    <t>783424340R00</t>
  </si>
  <si>
    <t>783425350R00</t>
  </si>
  <si>
    <t>783904811R00</t>
  </si>
  <si>
    <t>999281111R00</t>
  </si>
  <si>
    <t>M23</t>
  </si>
  <si>
    <t>110      R00</t>
  </si>
  <si>
    <t>12730105</t>
  </si>
  <si>
    <t>12730107</t>
  </si>
  <si>
    <t>12730108</t>
  </si>
  <si>
    <t>12730111</t>
  </si>
  <si>
    <t>12730112</t>
  </si>
  <si>
    <t>230140005R00</t>
  </si>
  <si>
    <t>230140010R00</t>
  </si>
  <si>
    <t>230140020R00</t>
  </si>
  <si>
    <t>230140030R00</t>
  </si>
  <si>
    <t>230140036R00</t>
  </si>
  <si>
    <t>979082212R00</t>
  </si>
  <si>
    <t>979082318R00</t>
  </si>
  <si>
    <t>979082319R00</t>
  </si>
  <si>
    <t>979083117R00</t>
  </si>
  <si>
    <t>979083191R00</t>
  </si>
  <si>
    <t>979087213R00</t>
  </si>
  <si>
    <t>979095312R00</t>
  </si>
  <si>
    <t>979990144R00</t>
  </si>
  <si>
    <t>713300811R00</t>
  </si>
  <si>
    <t>713300813R00</t>
  </si>
  <si>
    <t>713300821R00</t>
  </si>
  <si>
    <t>713300822R00</t>
  </si>
  <si>
    <t>713400821R00</t>
  </si>
  <si>
    <t>730001VD</t>
  </si>
  <si>
    <t>732110812R00</t>
  </si>
  <si>
    <t>732114VD</t>
  </si>
  <si>
    <t>732211813R00</t>
  </si>
  <si>
    <t>732211821R00</t>
  </si>
  <si>
    <t>732221811R00</t>
  </si>
  <si>
    <t>732320812R00</t>
  </si>
  <si>
    <t>732890801R00</t>
  </si>
  <si>
    <t>132201101R00</t>
  </si>
  <si>
    <t>162201102R00</t>
  </si>
  <si>
    <t>162701104R00</t>
  </si>
  <si>
    <t>162702199R00</t>
  </si>
  <si>
    <t>167101201R00</t>
  </si>
  <si>
    <t>174101102R00</t>
  </si>
  <si>
    <t>278310020RAB</t>
  </si>
  <si>
    <t>310239211RT2</t>
  </si>
  <si>
    <t>311231114R00</t>
  </si>
  <si>
    <t>451541111R00</t>
  </si>
  <si>
    <t>601011141R00</t>
  </si>
  <si>
    <t>601011193R00</t>
  </si>
  <si>
    <t>602011141RT3</t>
  </si>
  <si>
    <t>602011193R00</t>
  </si>
  <si>
    <t>611421221R00</t>
  </si>
  <si>
    <t>612421221R00</t>
  </si>
  <si>
    <t>612425931RT2</t>
  </si>
  <si>
    <t>612433211RT4</t>
  </si>
  <si>
    <t>632473104R00</t>
  </si>
  <si>
    <t>632477125R00</t>
  </si>
  <si>
    <t>622903111R00</t>
  </si>
  <si>
    <t>631312611R00</t>
  </si>
  <si>
    <t>631315511R00</t>
  </si>
  <si>
    <t>631319171R00</t>
  </si>
  <si>
    <t>631319181R00</t>
  </si>
  <si>
    <t>711</t>
  </si>
  <si>
    <t>711140016RAA</t>
  </si>
  <si>
    <t>711150016RAA</t>
  </si>
  <si>
    <t>998711201R00</t>
  </si>
  <si>
    <t>42911600</t>
  </si>
  <si>
    <t>42911730</t>
  </si>
  <si>
    <t>728614613R00</t>
  </si>
  <si>
    <t>731311811R00</t>
  </si>
  <si>
    <t>721</t>
  </si>
  <si>
    <t>28656122</t>
  </si>
  <si>
    <t>721176222R00</t>
  </si>
  <si>
    <t>721211520RT2</t>
  </si>
  <si>
    <t>721290111R00</t>
  </si>
  <si>
    <t>998721201R00</t>
  </si>
  <si>
    <t>733110808R00</t>
  </si>
  <si>
    <t>766</t>
  </si>
  <si>
    <t>54914594</t>
  </si>
  <si>
    <t>54917025</t>
  </si>
  <si>
    <t>54966320</t>
  </si>
  <si>
    <t>766660112RAA</t>
  </si>
  <si>
    <t>766669117R00</t>
  </si>
  <si>
    <t>766670010RA0</t>
  </si>
  <si>
    <t>998766201R00</t>
  </si>
  <si>
    <t>55395101.A</t>
  </si>
  <si>
    <t>767221130R00</t>
  </si>
  <si>
    <t>767999801R00</t>
  </si>
  <si>
    <t>771</t>
  </si>
  <si>
    <t>59764045</t>
  </si>
  <si>
    <t>597642030</t>
  </si>
  <si>
    <t>771120211R00</t>
  </si>
  <si>
    <t>771275106RT1</t>
  </si>
  <si>
    <t>771475034RT1</t>
  </si>
  <si>
    <t>771575109RT2</t>
  </si>
  <si>
    <t>998771201R00</t>
  </si>
  <si>
    <t>783103811R00</t>
  </si>
  <si>
    <t>783125230R00</t>
  </si>
  <si>
    <t>784</t>
  </si>
  <si>
    <t>784422271R00</t>
  </si>
  <si>
    <t>784900010RAB</t>
  </si>
  <si>
    <t>961031411R00</t>
  </si>
  <si>
    <t>961044111R00</t>
  </si>
  <si>
    <t>962032231R00</t>
  </si>
  <si>
    <t>963053935R00</t>
  </si>
  <si>
    <t>965042141RT1</t>
  </si>
  <si>
    <t>965042241RT2</t>
  </si>
  <si>
    <t>968071112R00</t>
  </si>
  <si>
    <t>968072244R00</t>
  </si>
  <si>
    <t>971035541R00</t>
  </si>
  <si>
    <t>971035561R00</t>
  </si>
  <si>
    <t>978011121R00</t>
  </si>
  <si>
    <t>978013121R00</t>
  </si>
  <si>
    <t>978071221R00</t>
  </si>
  <si>
    <t>978200010RA0</t>
  </si>
  <si>
    <t>979082111R00</t>
  </si>
  <si>
    <t>979082121R00</t>
  </si>
  <si>
    <t>9799015VD</t>
  </si>
  <si>
    <t>00013VD</t>
  </si>
  <si>
    <t>44984124</t>
  </si>
  <si>
    <t>730004VD</t>
  </si>
  <si>
    <t>730006VD</t>
  </si>
  <si>
    <t>730007VD</t>
  </si>
  <si>
    <t>732199100RM1</t>
  </si>
  <si>
    <t>904      R02</t>
  </si>
  <si>
    <t>904      R03</t>
  </si>
  <si>
    <t>908      R00</t>
  </si>
  <si>
    <t>999002VD</t>
  </si>
  <si>
    <t>M972VD</t>
  </si>
  <si>
    <t>972-3VD</t>
  </si>
  <si>
    <t>Rekonstrukce VS Krušnohorská 304</t>
  </si>
  <si>
    <t>technologie + stavební 15002</t>
  </si>
  <si>
    <t>Ostrov</t>
  </si>
  <si>
    <t>Zkrácený popis</t>
  </si>
  <si>
    <t>Primární okruh HV</t>
  </si>
  <si>
    <t>Strojovny</t>
  </si>
  <si>
    <t>Alfa laval CB30-34H vč. šrtoub,nožiček a izol.</t>
  </si>
  <si>
    <t>Alfa laval CB110-46 vč. šroub, tep.izolace  a podl.držáků*</t>
  </si>
  <si>
    <t>Montáž výměníku TUV a UT vč. izolace do  DN80*</t>
  </si>
  <si>
    <t>Montáž výměníku vč. izolace do DN100*</t>
  </si>
  <si>
    <t>Přesun hmot pro strojovny, výšky do 6 m</t>
  </si>
  <si>
    <t>Armatury</t>
  </si>
  <si>
    <t>Měřič tepla UT závit. UH50 A23C vč. čidel,jímek a návarků*</t>
  </si>
  <si>
    <t>HU211HLB 1433 P4 40/140-25 SDK32.51 DN25</t>
  </si>
  <si>
    <t>HU211 HLB1433 R1 16/140-20 SDK82.51</t>
  </si>
  <si>
    <t>VEXVE 100-RED POINT DN 15/PN25*</t>
  </si>
  <si>
    <t>VEXVE 100-RED POINT DN 32/PN25*</t>
  </si>
  <si>
    <t>VEXVE 100-RED POINT DN 50/PN25*</t>
  </si>
  <si>
    <t>TA STAD DN50 obj.č. 52-151-050</t>
  </si>
  <si>
    <t>Reg.dif.tlaku DKH 215 DN25/32 (obj.č.52 758-325)</t>
  </si>
  <si>
    <t>Filtr s výměnnou vložkou D71-118-540 PN40 DN 50</t>
  </si>
  <si>
    <t>Zpět.ventil mezipřírub. SR70.16 DN50*</t>
  </si>
  <si>
    <t>Montáž reg.dif.tlaku závit.</t>
  </si>
  <si>
    <t>Montáž přírub. armatur, 2 příruby, PN 1,6, DN 25</t>
  </si>
  <si>
    <t>Montáž přírub. armatur, 2 příruby, PN 1,6, DN 20-25</t>
  </si>
  <si>
    <t>Montáž přírub. armatur, 2 příruby, PN 1,6, DN 50</t>
  </si>
  <si>
    <t>Montáž přivař.armatur PN2,5-4 DN 15*</t>
  </si>
  <si>
    <t>Montáž přivař.armatur PN 2,5-4,0,DN 32-40*</t>
  </si>
  <si>
    <t>Montáž přivař.armatur PN 2,5-4,0,DN 50*</t>
  </si>
  <si>
    <t>Montáž armatur závitových,se 2závity, DN50*</t>
  </si>
  <si>
    <t>Kondenzační smyčky ČSN 13 7531.1- zahnuté</t>
  </si>
  <si>
    <t>Montáž kompaktního měřiče tepla závitového DN25*</t>
  </si>
  <si>
    <t>Přesun hmot pro armatury, výšky do 6 m</t>
  </si>
  <si>
    <t>Sekundární okruh ÚT</t>
  </si>
  <si>
    <t>čerpadlo KSB Calio 40-120 vč. přírub a izolace</t>
  </si>
  <si>
    <t>Flamco fill MVE 1+ NFE 1</t>
  </si>
  <si>
    <t>FLAMCO flexcon  C425 expans. s připoj.skupinou "1" flexfas</t>
  </si>
  <si>
    <t>Montáž a zprovoznění exp.nádoby FLAMCO Flexcon C425</t>
  </si>
  <si>
    <t>Montáž dopouštěcího zařízení *</t>
  </si>
  <si>
    <t>Filtr kab.aut.změkč. WMK 2650 T</t>
  </si>
  <si>
    <t>Montáž čerpadel, DN 32-40*</t>
  </si>
  <si>
    <t>Ventil poj.HEROSE DN32/PN16 pro kapaliny s vysokou tepl.**</t>
  </si>
  <si>
    <t>Předfiltr AQ-KM1 - 1" (obj.AQ-KM1)</t>
  </si>
  <si>
    <t>Montáž přírub. armatur, 2 příruby, PN 1,6, DN 65</t>
  </si>
  <si>
    <t>BOAX-SF DN65 s XU EPDM</t>
  </si>
  <si>
    <t>BOA-S DN50/16 stand síto</t>
  </si>
  <si>
    <t>KK DN15/PN10</t>
  </si>
  <si>
    <t>KK DN20/PN10</t>
  </si>
  <si>
    <t>KK DN25/PN10</t>
  </si>
  <si>
    <t>Dem.,repase a montáž reg.d.tlaku*</t>
  </si>
  <si>
    <t>Demontáž ventilů regul., do DN 50/100*</t>
  </si>
  <si>
    <t>Montáž ventilů regul. PN 1,6, DN 50*</t>
  </si>
  <si>
    <t>Montáž armatur závitových,se 2závity, DN15*</t>
  </si>
  <si>
    <t>Montáž armatur závitových,se 2závity, DN20*</t>
  </si>
  <si>
    <t>Montáž armatur závitových,se 2závity, DN25*</t>
  </si>
  <si>
    <t>Montáž armatur závitových,se 2závity, DN32*</t>
  </si>
  <si>
    <t>Kohout kulový s vypouš.vnitř.-vnitř.z. DN 15</t>
  </si>
  <si>
    <t>Sekundární okruh TUV a CUV</t>
  </si>
  <si>
    <t>Vnitřní vodovod</t>
  </si>
  <si>
    <t>Víčko č. 301 DN 25 vnitřní závit pozink*</t>
  </si>
  <si>
    <t>Ventil poj. HEROSE 06318.1204.0000 DN15*</t>
  </si>
  <si>
    <t>TA STAD DN25 obj.č. 52-151-025</t>
  </si>
  <si>
    <t>Šroubení nerez DN40</t>
  </si>
  <si>
    <t>KK DN40/PN10</t>
  </si>
  <si>
    <t>Filtr, vnitřní-vnitřní z. DN 25</t>
  </si>
  <si>
    <t>Ventil zpětný DN 25</t>
  </si>
  <si>
    <t>Kohout kul.vnější-vnitřní DN 25</t>
  </si>
  <si>
    <t>Montáž vodovodních armatur 2závity, DN15*</t>
  </si>
  <si>
    <t>Montáž vodovodních armatur 2závity, DN25*</t>
  </si>
  <si>
    <t>Montáž vodovodních armatur 2závity, DN40*</t>
  </si>
  <si>
    <t>Přesun hmot pro vnitřní vodovod, výšky do 6 m</t>
  </si>
  <si>
    <t>Rio therm C230-70 vč. tep. izolace*</t>
  </si>
  <si>
    <t>Akum.nádoba TUV 350 l vč. izolace*</t>
  </si>
  <si>
    <t>Montáž aku nádoby do 420 l*</t>
  </si>
  <si>
    <t>Montáž čerpadel  DN 25*</t>
  </si>
  <si>
    <t>Sekundární objekt SV</t>
  </si>
  <si>
    <t>Vodoměr  SV závit DN25*</t>
  </si>
  <si>
    <t>KK DN50/PN10</t>
  </si>
  <si>
    <t>Hadicová rychlospojka*</t>
  </si>
  <si>
    <t>Demontáž armatur s dvěma závity DN25-32*</t>
  </si>
  <si>
    <t>Kohout kulový výtokový, DN 15</t>
  </si>
  <si>
    <t>Ventil pojistný pružinový DN20*</t>
  </si>
  <si>
    <t>Filtr, vnitřní-vnitřní z. DN 50</t>
  </si>
  <si>
    <t>Ventil zpětný,2xvnitřní závit DN 40</t>
  </si>
  <si>
    <t>Montáž vodovodních armatur 2závity, DN20*</t>
  </si>
  <si>
    <t>Montáž vodovodních armatur 2závity, DN50*</t>
  </si>
  <si>
    <t>Demontáž vodoměrů závitových DN25*</t>
  </si>
  <si>
    <t>Montáž vodoměru závitového DN25**</t>
  </si>
  <si>
    <t>FLAMCO AIRFIX D35/8 - exp. nádrž</t>
  </si>
  <si>
    <t>Montáž nádoby expanzní tlakové 35 l</t>
  </si>
  <si>
    <t>Trubní rozvody</t>
  </si>
  <si>
    <t>Izolace tepelné</t>
  </si>
  <si>
    <t>Izol.armatur min.plst sním.opl.  DN15-32</t>
  </si>
  <si>
    <t>Izol.armatur min.plst sním opl.  DN40</t>
  </si>
  <si>
    <t>Izol.armatur min.plst sním.opl.  DN50</t>
  </si>
  <si>
    <t>Izol.armatur snímatelná opl. DN65</t>
  </si>
  <si>
    <t>Izolace KK DN15</t>
  </si>
  <si>
    <t>Izolace KK DN20</t>
  </si>
  <si>
    <t>Izolace KK DN25</t>
  </si>
  <si>
    <t>Izolace TA STAD DN25</t>
  </si>
  <si>
    <t>Izolace KK DN40</t>
  </si>
  <si>
    <t>Izolace KK DN50</t>
  </si>
  <si>
    <t>Izolace TA STAD DN50</t>
  </si>
  <si>
    <t>Přesun hmot pro izolace tepelné, výšky do 6 m</t>
  </si>
  <si>
    <t>Pouzdro potrubní izolační PIPO ALS 21/30 mm</t>
  </si>
  <si>
    <t>Pouzdro potrubní izolační PIPO ALS 27/30 mm</t>
  </si>
  <si>
    <t>Pouzdro potrubní izolační PIPO ALS 34/30 mm</t>
  </si>
  <si>
    <t>Pouzdro potrubní izolační PIPO ALS 49/30 mm</t>
  </si>
  <si>
    <t>Pouzdro potrubní izolační PIPO ALS 60/30 mm</t>
  </si>
  <si>
    <t>Pouzdro potrubní izolační PIPO ALS 21/40 mm</t>
  </si>
  <si>
    <t>Pouzdro potrubní izolační PIPO ALS 27/40 mm</t>
  </si>
  <si>
    <t>Pouzdro potrubní izolační PIPO ALS 34/40 mm</t>
  </si>
  <si>
    <t>Pouzdro potrubní izolační PIPO ALS 49/40 mm</t>
  </si>
  <si>
    <t>Pouzdro potrubní izolační PIPO ALS 60/40 mm</t>
  </si>
  <si>
    <t>Pouzdro potrubní izolační PIPO ALS 34/50 mm</t>
  </si>
  <si>
    <t>Pouzdro potrubní izolační PIPO ALS 42/50 mm</t>
  </si>
  <si>
    <t>Pouzdro potrubní izolační PIPO ALS 60/50 mm</t>
  </si>
  <si>
    <t>Pouzdro potrubní izolační PIPO ALS 70/50 mm</t>
  </si>
  <si>
    <t>Pouzdro potrubní izolační PIPO ALS 89/50 mm</t>
  </si>
  <si>
    <t>Montáž izolačních skruží na potrubí přímé DN 10- 25</t>
  </si>
  <si>
    <t>Montáž izolačních skruží na potrubí přímé DN 32-40</t>
  </si>
  <si>
    <t>Montáž izolačních skruží na potrubí  DN 50-110*</t>
  </si>
  <si>
    <t>Rozvod potrubí</t>
  </si>
  <si>
    <t>Potrubí hladké bezešvé níz./středotlaké DN 15/PN16*</t>
  </si>
  <si>
    <t>Potrubí hladké bezešvé níz./středotlaké DN 20/PN16*</t>
  </si>
  <si>
    <t>Potrubí hladké bezešvé níz./středotlaké DN 25/PN16*</t>
  </si>
  <si>
    <t>Potrubí hladké bezešvé níz./středotlaké DN 32/PN16*</t>
  </si>
  <si>
    <t>Potrubí hladké bezešvé níz./středotlaké DN 50/PN16*</t>
  </si>
  <si>
    <t>Potrubí hladké bezešvé níz./středotlaké DN 65/PN16*</t>
  </si>
  <si>
    <t>Potrubí hladké bezešvé níz./středotlaké DN 80/PN16*</t>
  </si>
  <si>
    <t>Přesun hmot pro rozvody potrubí, výšky do 6 m</t>
  </si>
  <si>
    <t>Teploměr dvojkovový DTÚ 0 až 200, ston.100 mm chr.</t>
  </si>
  <si>
    <t>Jímka teploměrová dl. 165 mm nerez*</t>
  </si>
  <si>
    <t>Tlakoměr standardní*</t>
  </si>
  <si>
    <t>Ventil tlakoměrový zkuš. mosaz PN 25, DN 3</t>
  </si>
  <si>
    <t>Kohout tlakoměrový 121013  M20 x 1,5 mm zkušební</t>
  </si>
  <si>
    <t>GLOBO KFE DN10/PN10 s návar tř.11</t>
  </si>
  <si>
    <t>GLOBO KFE DN15/PN10 s návar tř.17</t>
  </si>
  <si>
    <t>Odvzdušnění: nádoba DN50/100;2xVEXVE-RP DN10/40;tr DN10-3,5m*</t>
  </si>
  <si>
    <t>Odvzdušnění s AOV*</t>
  </si>
  <si>
    <t>Vypouštění sdružené 3x VEXVE RP DN25 vč. potrubí*</t>
  </si>
  <si>
    <t>Montáž armatur závitových,s 1závitem, DN15*</t>
  </si>
  <si>
    <t>Montáž armatur závitových,se 3závity, DN20*</t>
  </si>
  <si>
    <t>Montáž armatur 3závit,  DN25*</t>
  </si>
  <si>
    <t>Kondenzační smyčky ČSN 13 7531.1- zahnuté*</t>
  </si>
  <si>
    <t>Montáž teploměru s pouzdrem nebo stonkem a jímkou</t>
  </si>
  <si>
    <t>Montáž tlakoměru 0-10 MPa*</t>
  </si>
  <si>
    <t>Návarek M20x1,5 tř.11*</t>
  </si>
  <si>
    <t>Návarek 20x1,5  tř.17*</t>
  </si>
  <si>
    <t>Konstrukce doplňkové stavební (zámečnické)</t>
  </si>
  <si>
    <t>Objímka dvoušroubová 20-23 mm  1/2"</t>
  </si>
  <si>
    <t>Objímka dvoušroubová 25-30 mm  3/4"</t>
  </si>
  <si>
    <t>Objímka dvoušroubová 31-38 mm  1"</t>
  </si>
  <si>
    <t>Objímka dvoušroubová 40-46 mm  5/4"</t>
  </si>
  <si>
    <t>Objímka dvoušroubová 48-53 mm  6/4"</t>
  </si>
  <si>
    <t>Objímka dvoušroubová 60-64 mm  2"</t>
  </si>
  <si>
    <t>Objímka dvoušroubová 72-78 mm  2 1/2"</t>
  </si>
  <si>
    <t>Objímka dvoušroubová 87-92 mm  3"</t>
  </si>
  <si>
    <t>Tyč závěsná  ON 13 0630  d 12</t>
  </si>
  <si>
    <t>Montáž upevňovacích prvků*</t>
  </si>
  <si>
    <t>Podpěrné konstrukce mat. tř. 11*</t>
  </si>
  <si>
    <t>Přesun hmot pro zámečnické konstr., výšky do 6 m</t>
  </si>
  <si>
    <t>Nátěry</t>
  </si>
  <si>
    <t>Nátěr podp.konstr. a upev.prvků teplotně odolný*</t>
  </si>
  <si>
    <t>Odstranění nátěru z potrubí DN do 100 mm</t>
  </si>
  <si>
    <t>Nátěr potrubí odolný teplotám do DN 50 mm   Z+2x +2x email*</t>
  </si>
  <si>
    <t>Nátěr potrubí odolný teplotám do DN 100 mm Z +2x+2x email*</t>
  </si>
  <si>
    <t>Odrezivění kovových konstrukcí</t>
  </si>
  <si>
    <t>Přesun hmot pro opravy a údržbu do výšky 25 m</t>
  </si>
  <si>
    <t>Montáže potrubí</t>
  </si>
  <si>
    <t>Mimostaveništní doprava individual.</t>
  </si>
  <si>
    <t>Trubka nerez bezešvá DN15 x 1,0 vč.tvarovek*</t>
  </si>
  <si>
    <t>Trubka nerez bezešvá DN 20 x 1,0 vč.tvarovek*</t>
  </si>
  <si>
    <t>Trubka nerez bezešvá DN 25 x 2,0 vč. tvarovek*</t>
  </si>
  <si>
    <t>Trubka nerez bezešvá DN 40 x 2,0 vč.tvarovek*</t>
  </si>
  <si>
    <t>Trubka nerez bezešvá DN 50 x 2,5 vč.tvarovek*</t>
  </si>
  <si>
    <t>Montáž trubek z nerez.oceli tř.17, DN15x 2*</t>
  </si>
  <si>
    <t>Montáž trubek z nerez.oceli tř.17, DN20 x 2*</t>
  </si>
  <si>
    <t>Montáž trubek z nerez.oceli tř.17, DN25 x 2*</t>
  </si>
  <si>
    <t>Montáž trubek z nerez.oceli tř.17, DN40 x 2*</t>
  </si>
  <si>
    <t>Montáž trubek z nerez.oceli tř.17, DN50 x 2*</t>
  </si>
  <si>
    <t>Demontáže</t>
  </si>
  <si>
    <t>Přesuny sutí</t>
  </si>
  <si>
    <t>Vodorovná doprava suti po suchu do 50 m</t>
  </si>
  <si>
    <t>Vodorovná doprava suti a hmot po suchu do 6000 m</t>
  </si>
  <si>
    <t>Příplatek k vodor.dopravě po suchu, dalších 1000 m</t>
  </si>
  <si>
    <t>Vodorovné přemístění suti na skládku do 6000 m</t>
  </si>
  <si>
    <t>Příplatek za dalších započatých 1000 m nad 6000 m</t>
  </si>
  <si>
    <t>Nakládání vybouraných hmot na dopravní prostředky</t>
  </si>
  <si>
    <t>Naložení a složení suti</t>
  </si>
  <si>
    <t>Poplatek za skládku suti - minerální vata</t>
  </si>
  <si>
    <t>Odstranění oplechování těles, ploch rovných</t>
  </si>
  <si>
    <t>Odstranění oplechování těles, bombírovaných čel</t>
  </si>
  <si>
    <t>Odstranění tepelné izolace z pásů ploch rovných</t>
  </si>
  <si>
    <t>Odstranění tepelné izolace z pásů ploch tvarových</t>
  </si>
  <si>
    <t>Odstranění izolačních pásů  potrubí*</t>
  </si>
  <si>
    <t>Ústřední vytápění</t>
  </si>
  <si>
    <t>Demontáž stávajícího vybavení VS vč.potrubí a podpěr. konstr.*</t>
  </si>
  <si>
    <t>Demontáž těles rozdělovačů a sběračů, DN 200 mm</t>
  </si>
  <si>
    <t>Demontáž úpravny vody vč. předání</t>
  </si>
  <si>
    <t>Demontáž ohříváků zásobníkových ležatých do 630 l</t>
  </si>
  <si>
    <t>Demontáž kondenzátní nádrže do 2500 l*</t>
  </si>
  <si>
    <t>Demontáž trubkového ohříváku stojatého*</t>
  </si>
  <si>
    <t>Demontáž exp.nádoby vč. armatur*</t>
  </si>
  <si>
    <t>Přemístění vybouraných hmot - strojovny, H do 6 m</t>
  </si>
  <si>
    <t>stavební část</t>
  </si>
  <si>
    <t>Hloubené vykopávky</t>
  </si>
  <si>
    <t>Hloubení rýh šířky do 60 cm v hor.3 do 100 m3</t>
  </si>
  <si>
    <t>Přemístění výkopku</t>
  </si>
  <si>
    <t>Vodorovné přemístění výkopku z hor.1-4 do 50 m</t>
  </si>
  <si>
    <t>Vodorovné přemístění výkopku z hor.1-4 do 9000 m</t>
  </si>
  <si>
    <t>Poplatek za skládku zeminy</t>
  </si>
  <si>
    <t>Nakládání výkopku z hor.1 ÷ 4 - ručně</t>
  </si>
  <si>
    <t>Konstrukce ze zemin</t>
  </si>
  <si>
    <t>Zásyp ruční se zhutněním</t>
  </si>
  <si>
    <t>Základy</t>
  </si>
  <si>
    <t>Základy pod stroje a zařízení z betonu C 12/15</t>
  </si>
  <si>
    <t>Zdi podpěrné a volné</t>
  </si>
  <si>
    <t>Zazdívka otvorů plochy do 4 m2 cihlami na MVC</t>
  </si>
  <si>
    <t>Zdivo nosné cihelné z CP 29 P15 na MVC 2,5</t>
  </si>
  <si>
    <t>Podkladní a vedlejší konstrukce (kromě vozovek a železničního svršku)</t>
  </si>
  <si>
    <t>Lože pod potrubí ze štěrkodrtě 0 - 63 mm</t>
  </si>
  <si>
    <t>Úprava povrchů vnitřní</t>
  </si>
  <si>
    <t>Štuk na stropech ručně</t>
  </si>
  <si>
    <t>Kontaktní nátěr pod omítky Cemix K bílý</t>
  </si>
  <si>
    <t>Štuk vnitřní Cemix 033 ručně</t>
  </si>
  <si>
    <t>Kontaktní nátěr pod omítky bílý Cemix K</t>
  </si>
  <si>
    <t>Oprava váp.omítek stropů do 10% plochy - hladkých</t>
  </si>
  <si>
    <t>Oprava vápen.omítek stěn do 10 % pl. - hladkých</t>
  </si>
  <si>
    <t>Omítka vápenná vnitřního ostění - štuková</t>
  </si>
  <si>
    <t>Omítka sanační střední zasolení, jednovrstvá</t>
  </si>
  <si>
    <t>Potěr samonivelační ručně tl. 4 mm</t>
  </si>
  <si>
    <t>Reprofilace polymercementovou maltou, tl. do 20 mm</t>
  </si>
  <si>
    <t>Podlahy a podlahové konstrukce</t>
  </si>
  <si>
    <t>Očištění zdí a podlah před opravou*</t>
  </si>
  <si>
    <t>Mazanina betonová tl. 5 - 8 cm C 16/20  (B 20)</t>
  </si>
  <si>
    <t>Mazanina betonová tl. 12 - 24 cm C 12/15  (B 12,5)</t>
  </si>
  <si>
    <t>Příplatek za stržení povrchu mazaniny tl. 8 cm</t>
  </si>
  <si>
    <t>Příplatek za sklon mazaniny do 35 st. tl. 5 - 8 cm</t>
  </si>
  <si>
    <t>Izolace proti vodě</t>
  </si>
  <si>
    <t>Izolace proti vodě vodorovná přitavená, 1x</t>
  </si>
  <si>
    <t>Izolace proti vodě svislá přitavená, 1x</t>
  </si>
  <si>
    <t>Přesun hmot pro izolace proti vodě, výšky do 6 m</t>
  </si>
  <si>
    <t>Zdravotně technické instalace</t>
  </si>
  <si>
    <t>Žaluzie  k vent. PRG 250*</t>
  </si>
  <si>
    <t>Ventilátor axiální do zdi  HCFB 250*</t>
  </si>
  <si>
    <t>Mtž ventilátoru axiál. nízkotl. nástěn.do d 300 mm</t>
  </si>
  <si>
    <t>Demontáž ventilátoru D300*</t>
  </si>
  <si>
    <t>Vnitřní kanalizace</t>
  </si>
  <si>
    <t>Přechodka litina/plast kanalizační PPKGUG DN 110</t>
  </si>
  <si>
    <t>Potrubí KG svodné (ležaté) v zemi DN 100 x 3,2 mm</t>
  </si>
  <si>
    <t>Vpusť dvorní HL606, klapka, lapač*</t>
  </si>
  <si>
    <t>Zkouška těsnosti kanalizace vodou DN 125</t>
  </si>
  <si>
    <t>Přesun hmot pro vnitřní kanalizaci, výšky do 6 m</t>
  </si>
  <si>
    <t>Demontáž potrubí ocelového závitového do DN 32-50</t>
  </si>
  <si>
    <t>Konstrukce truhlářské</t>
  </si>
  <si>
    <t>Kliky se štítem dveř.  804  FAB/90 Cr</t>
  </si>
  <si>
    <t>Zavírač dveří *</t>
  </si>
  <si>
    <t>Vložka FAB*</t>
  </si>
  <si>
    <t>Dveře protipožární jednokřídlové šířky 90 cm</t>
  </si>
  <si>
    <t>Dokování samozavírače na ocelovou zárubeň</t>
  </si>
  <si>
    <t>Okno plastové jednokřídlové typové plochy 1,5 m2</t>
  </si>
  <si>
    <t>Přesun hmot pro truhlářské konstr., výšky do 6 m</t>
  </si>
  <si>
    <t>Zábradlí ocelové</t>
  </si>
  <si>
    <t>Montáž zábradlí schod.z trubek, do zdiva,nad 25 kg</t>
  </si>
  <si>
    <t>Demontáž doplňků staveb o hmotnosti do 50 kg</t>
  </si>
  <si>
    <t>Podlahy z dlaždic</t>
  </si>
  <si>
    <t>Sokl neglazovaný slinutý Taurus 300x80 mm</t>
  </si>
  <si>
    <t>Dlažba Taurus Granit matná 300x300x9 mm</t>
  </si>
  <si>
    <t>Kladení dlaždic na podstupnice do tmele, 1 řada</t>
  </si>
  <si>
    <t>Obklad keram.schod.stupňů hladkých do tmele 20x10</t>
  </si>
  <si>
    <t>Obklad soklíků keram.stupňov., tmel,20x10 H 10 cm</t>
  </si>
  <si>
    <t>Montáž podlah keram.,hladké, tmel, 30x30 cm</t>
  </si>
  <si>
    <t>Přesun hmot pro podlahy z dlaždic, výšky do 6 m</t>
  </si>
  <si>
    <t>Odstranění nátěrů z ocel.konstrukcí oškrábáním</t>
  </si>
  <si>
    <t>Nátěr syntetický OK 1x + 2x email</t>
  </si>
  <si>
    <t>Nátěr syntet. potrubí do DN 50 mm  Z+2x +1x email</t>
  </si>
  <si>
    <t>Malby</t>
  </si>
  <si>
    <t>Malba vápenná 2x, pačok 2x,1barva, místn. do 3,8 m</t>
  </si>
  <si>
    <t>Odstranění stávajících maleb</t>
  </si>
  <si>
    <t>Bourání konstrukcí</t>
  </si>
  <si>
    <t>Bourání základů cihelných na MC</t>
  </si>
  <si>
    <t>Bourání základů z betonu prostého</t>
  </si>
  <si>
    <t>Bourání zdiva z cihel pálených na MVC</t>
  </si>
  <si>
    <t>Bourání Bet. schod. ramen *.</t>
  </si>
  <si>
    <t>Bourání mazanin betonových tl. 10 cm, nad 4 m2</t>
  </si>
  <si>
    <t>Bourání mazanin betonových tl. nad 10 cm, nad 4 m2</t>
  </si>
  <si>
    <t>Vyvěšení, zavěšení kovových křídel oken pl. 1,5 m2</t>
  </si>
  <si>
    <t>Vybourání kovových rámů oken jednod. pl. 1 m2</t>
  </si>
  <si>
    <t>Prorážení otvorů a ostatní bourací práce</t>
  </si>
  <si>
    <t>Vybourání otv. zeď cihel. pl. 1 m2, tl. 30 cm, MC</t>
  </si>
  <si>
    <t>Vybourání otv. zeď cihel. pl. 1 m2, tl. 60 cm, MC</t>
  </si>
  <si>
    <t>Otlučení omítek vnitřních vápenných stropů do 10 %</t>
  </si>
  <si>
    <t>Otlučení omítek vnitřních stěn v rozsahu do 10 %</t>
  </si>
  <si>
    <t>Odsekání omítky a izolace lepenk. svislé nad 1 m2</t>
  </si>
  <si>
    <t>Otlučení vnitřních omítek stěn vápenocem. 100 %</t>
  </si>
  <si>
    <t>Ostatní přesuny hmot</t>
  </si>
  <si>
    <t>Vnitrostaveništní doprava suti do 10 m</t>
  </si>
  <si>
    <t>Příplatek k vnitrost. dopravě suti za dalších 5 m</t>
  </si>
  <si>
    <t>Poplatek za skládku Sadov - směs beton cihla</t>
  </si>
  <si>
    <t>Ostatní související dodávky a činnosti</t>
  </si>
  <si>
    <t>Předání díla</t>
  </si>
  <si>
    <t>Plastový piktogram ( 2xA4)</t>
  </si>
  <si>
    <t>Přístroj hasicí práškový NEURUPPIN PG 6 PDC</t>
  </si>
  <si>
    <t>Proplach  rozvodů*</t>
  </si>
  <si>
    <t>Nastavení regulační armatury + protokol*</t>
  </si>
  <si>
    <t>Desinfekce a laboratorní rozbor vody*</t>
  </si>
  <si>
    <t>Montáž orientačního štítku</t>
  </si>
  <si>
    <t>Provozní zkouška zařízení po dobu 72 hod*</t>
  </si>
  <si>
    <t>Tlaková zkouška rozvodů HV,ÚT,TUV a SV*</t>
  </si>
  <si>
    <t>PD skutečného provedení stavby</t>
  </si>
  <si>
    <t>Zpracování provozní dokumentace stavby</t>
  </si>
  <si>
    <t>NUS;VRN</t>
  </si>
  <si>
    <t>Ostatní náklady</t>
  </si>
  <si>
    <t>NUS náklady na umístění stavby</t>
  </si>
  <si>
    <t>Doba výstavby:</t>
  </si>
  <si>
    <t>Začátek výstavby:</t>
  </si>
  <si>
    <t>Konec výstavby:</t>
  </si>
  <si>
    <t>Zpracováno dne:</t>
  </si>
  <si>
    <t>M.j.</t>
  </si>
  <si>
    <t>kpl</t>
  </si>
  <si>
    <t>soubor</t>
  </si>
  <si>
    <t>kus</t>
  </si>
  <si>
    <t>KPL</t>
  </si>
  <si>
    <t>KUS</t>
  </si>
  <si>
    <t>ks</t>
  </si>
  <si>
    <t>kompl</t>
  </si>
  <si>
    <t>soub.</t>
  </si>
  <si>
    <t>m</t>
  </si>
  <si>
    <t>kg</t>
  </si>
  <si>
    <t>m2</t>
  </si>
  <si>
    <t>t</t>
  </si>
  <si>
    <t>Kč</t>
  </si>
  <si>
    <t>m3</t>
  </si>
  <si>
    <t>soub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</si>
  <si>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</si>
  <si>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</si>
  <si>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</si>
  <si>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</si>
  <si>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</si>
  <si>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</si>
  <si>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</si>
  <si>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</si>
  <si>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</si>
  <si>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</si>
  <si>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</si>
  <si>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Ostrovská teplárenská a.s. Ostrov</t>
  </si>
  <si>
    <t>Ing. Roman Havlan, Dolní Žďár 31, 363 01 Ostrov</t>
  </si>
  <si>
    <t>Pouska</t>
  </si>
  <si>
    <t>Celkem</t>
  </si>
  <si>
    <t>Hmotnost (t)</t>
  </si>
  <si>
    <t>0</t>
  </si>
  <si>
    <t>Přesuny</t>
  </si>
  <si>
    <t>Typ skupiny</t>
  </si>
  <si>
    <t>PS</t>
  </si>
  <si>
    <t>MP</t>
  </si>
  <si>
    <t>OM</t>
  </si>
  <si>
    <t>HS</t>
  </si>
  <si>
    <t>PR</t>
  </si>
  <si>
    <t>HSV mat</t>
  </si>
  <si>
    <t>HSV prac</t>
  </si>
  <si>
    <t>PSV mat</t>
  </si>
  <si>
    <t>PSV prac</t>
  </si>
  <si>
    <t>Mont mat</t>
  </si>
  <si>
    <t>Mont prac</t>
  </si>
  <si>
    <t>Ostatní mat.</t>
  </si>
  <si>
    <t>Cena se rozumí vč. montáže</t>
  </si>
  <si>
    <t xml:space="preserve"> - ostatní nespecifikované</t>
  </si>
  <si>
    <t xml:space="preserve"> - ochrana provedených konstrukcí</t>
  </si>
  <si>
    <t xml:space="preserve"> - zkušební provoz</t>
  </si>
  <si>
    <t xml:space="preserve"> - pomocné konstrukce</t>
  </si>
  <si>
    <t xml:space="preserve"> - kompletační činnost</t>
  </si>
  <si>
    <t xml:space="preserve"> - náklady na zařízení staveniště a ostatní vedlejší náklady</t>
  </si>
  <si>
    <t xml:space="preserve"> - testy a revize</t>
  </si>
  <si>
    <t xml:space="preserve"> - zaškolení</t>
  </si>
  <si>
    <t xml:space="preserve"> - manuály</t>
  </si>
  <si>
    <t xml:space="preserve"> - dokumentace skutečného provedení</t>
  </si>
  <si>
    <t>Naprogramování řídících podstanic, vč. webserveru</t>
  </si>
  <si>
    <t>Montáže</t>
  </si>
  <si>
    <t>Protipožární systém HILTI, ucpávky</t>
  </si>
  <si>
    <t>Kabelové trasy a spojovací montážní materiál</t>
  </si>
  <si>
    <t>CYKY-J 5 x 4</t>
  </si>
  <si>
    <t>CYKY-J 5 x 1,5</t>
  </si>
  <si>
    <t>CYKY-J 3 x 1,5</t>
  </si>
  <si>
    <t>JYTY-O 7 x 1</t>
  </si>
  <si>
    <t>JYTY-O 4 x 1</t>
  </si>
  <si>
    <t>JYTY-O 2 x 1</t>
  </si>
  <si>
    <t>KABELY A NOSNÁ ČÁST</t>
  </si>
  <si>
    <t>M200</t>
  </si>
  <si>
    <t>Modul 4 DO, relé</t>
  </si>
  <si>
    <t>M420</t>
  </si>
  <si>
    <t>Modul 16 DI 24V</t>
  </si>
  <si>
    <t>M500</t>
  </si>
  <si>
    <t>Modul 8xAI</t>
  </si>
  <si>
    <t>MCIO2</t>
  </si>
  <si>
    <t>Kombinovaný I/O modul, 29I/O</t>
  </si>
  <si>
    <t>IPLC200</t>
  </si>
  <si>
    <t>DDC regulátor MiniPLC - 1port, displej, ethernet, RS485 + rámeček pro montáž do dveří rozvaděče</t>
  </si>
  <si>
    <t>AS-1</t>
  </si>
  <si>
    <t xml:space="preserve">Řídící systém </t>
  </si>
  <si>
    <t>Stykač instalační 16A, 230V,50Hz</t>
  </si>
  <si>
    <t>KM10</t>
  </si>
  <si>
    <t>Jistič 6D/1 s pomocnými kontakty</t>
  </si>
  <si>
    <t>FA10</t>
  </si>
  <si>
    <t>Jistič 25B/3</t>
  </si>
  <si>
    <t>FA8, 9</t>
  </si>
  <si>
    <t>Jistič 10B/1</t>
  </si>
  <si>
    <t>FA5 - 7</t>
  </si>
  <si>
    <t>Jistič 10C/1</t>
  </si>
  <si>
    <t>FA4</t>
  </si>
  <si>
    <t>Jistič 6D/1</t>
  </si>
  <si>
    <t>FA1 - 3</t>
  </si>
  <si>
    <t>Svorka s držákem trubičkové pojistky</t>
  </si>
  <si>
    <t>Tlačítko T10 (černé)</t>
  </si>
  <si>
    <t>TL1</t>
  </si>
  <si>
    <t>Signálka 24V,50Hz (červená)</t>
  </si>
  <si>
    <t xml:space="preserve">HL1 </t>
  </si>
  <si>
    <t>Třípolohový přepínač</t>
  </si>
  <si>
    <t>SA1</t>
  </si>
  <si>
    <t>Hladinové relé HZ01</t>
  </si>
  <si>
    <t>Zdroj 230V / 24V = 1A</t>
  </si>
  <si>
    <t>ZD1, 2</t>
  </si>
  <si>
    <t>Trafo 230V/24V,50Hz 200VA</t>
  </si>
  <si>
    <t>TR1</t>
  </si>
  <si>
    <t>Jistič 10B/2</t>
  </si>
  <si>
    <t>FA3.1</t>
  </si>
  <si>
    <t>FA03</t>
  </si>
  <si>
    <t>Zásuvka 230V/10A, montáž na DIN lištu</t>
  </si>
  <si>
    <t>Jistič 6B/1</t>
  </si>
  <si>
    <t>FA02</t>
  </si>
  <si>
    <t>Jistič 16B/1</t>
  </si>
  <si>
    <t>FA01</t>
  </si>
  <si>
    <t>Přepěťová ochrana DA 275 DJ</t>
  </si>
  <si>
    <t>Signálka 230V,50Hz (bílá)</t>
  </si>
  <si>
    <t>HL01</t>
  </si>
  <si>
    <t>Tlačítko - HLAVNÍ VYPÍNAČ</t>
  </si>
  <si>
    <t>TL01</t>
  </si>
  <si>
    <t>Jistič 4B/1 s pomocnými kontakty</t>
  </si>
  <si>
    <t>FA100</t>
  </si>
  <si>
    <t>Vypínač AST32/3 s vypínací spouští 230V,50Hz</t>
  </si>
  <si>
    <t>QA1</t>
  </si>
  <si>
    <t>Krytí IP 45/20</t>
  </si>
  <si>
    <t>vč. vnitřního vybavení dle prováděcí dokumentace</t>
  </si>
  <si>
    <t>Příkon: 3kW</t>
  </si>
  <si>
    <t>Rozvaděčová skříň např.Schrack 800x1000x250 mm</t>
  </si>
  <si>
    <t>MR1</t>
  </si>
  <si>
    <t>Rozvaděč MR1</t>
  </si>
  <si>
    <t>Skříň zásuvková 2x230V,16A, 1x400V, 16A</t>
  </si>
  <si>
    <t>Vypínač</t>
  </si>
  <si>
    <t>S1.1, 2.1</t>
  </si>
  <si>
    <t>Zářivkové svítidlo 2x36W</t>
  </si>
  <si>
    <t>Součástí dodávky MaR jsou i návarky a odběry tlaků pro veškerá čidla.</t>
  </si>
  <si>
    <t>Tlačítko TOTAL STOP</t>
  </si>
  <si>
    <t>SB1</t>
  </si>
  <si>
    <t>Akustická siréna, 24V,50Hz</t>
  </si>
  <si>
    <t>AH1</t>
  </si>
  <si>
    <t>KSB Rio-Therm N 30-70S</t>
  </si>
  <si>
    <r>
      <t xml:space="preserve">Čerpadlo oběhové vč. připojovacích přírub a typové izolace, 75-180W, 230V  </t>
    </r>
    <r>
      <rPr>
        <b/>
        <sz val="10"/>
        <rFont val="Arial Narrow"/>
        <family val="2"/>
        <charset val="238"/>
      </rPr>
      <t>( MaR pouze připojuje )</t>
    </r>
  </si>
  <si>
    <t>MC3</t>
  </si>
  <si>
    <t>MC2</t>
  </si>
  <si>
    <t>KSB Calio 40-120</t>
  </si>
  <si>
    <r>
      <t>Čerpadlo oběhové vč. připojovacích přírub a typové izolace, 20-480W, 230V</t>
    </r>
    <r>
      <rPr>
        <b/>
        <sz val="10"/>
        <rFont val="Arial Narrow"/>
        <family val="2"/>
        <charset val="238"/>
      </rPr>
      <t xml:space="preserve"> ( MaR pouze připojuje )</t>
    </r>
  </si>
  <si>
    <t>MC1</t>
  </si>
  <si>
    <r>
      <t xml:space="preserve">ˇUpravna vody Aquina + automatický změkčovací filtr WMK-2560T   </t>
    </r>
    <r>
      <rPr>
        <b/>
        <sz val="10"/>
        <rFont val="Arial Narrow"/>
        <family val="2"/>
        <charset val="238"/>
      </rPr>
      <t>( MaR pouze připojuje )</t>
    </r>
  </si>
  <si>
    <t>UV</t>
  </si>
  <si>
    <r>
      <t xml:space="preserve">Dopouštěcí zařízení Flamco Fill MVE1s ovládacím panelem + NFE1 (součástí vodoměr s impulsním výstupem)   </t>
    </r>
    <r>
      <rPr>
        <b/>
        <sz val="10"/>
        <rFont val="Arial Narrow"/>
        <family val="2"/>
        <charset val="238"/>
      </rPr>
      <t>( MaR pouze připojuje )</t>
    </r>
  </si>
  <si>
    <t>BDS</t>
  </si>
  <si>
    <t>UH50 A23C</t>
  </si>
  <si>
    <r>
      <t xml:space="preserve">Měřič spotřeby tepla typ UH50 A23C  </t>
    </r>
    <r>
      <rPr>
        <b/>
        <sz val="10"/>
        <rFont val="Arial Narrow"/>
        <family val="2"/>
        <charset val="238"/>
      </rPr>
      <t xml:space="preserve"> ( MaR pouze připojuje )</t>
    </r>
  </si>
  <si>
    <t>MT2</t>
  </si>
  <si>
    <t>dodávka teplárny</t>
  </si>
  <si>
    <r>
      <t xml:space="preserve">Měřič spotřeby tepla typ UH50A50C   </t>
    </r>
    <r>
      <rPr>
        <b/>
        <sz val="10"/>
        <rFont val="Arial Narrow"/>
        <family val="2"/>
        <charset val="238"/>
      </rPr>
      <t>( MaR pouze připojuje )</t>
    </r>
  </si>
  <si>
    <t>MT1</t>
  </si>
  <si>
    <r>
      <t xml:space="preserve">Regulační ventil s havarijní funkcí HU211 HLB1433R1 16/140-15 s pohonem typ SKD 82.51, 24V, 3P, kv=6,3m3/h  </t>
    </r>
    <r>
      <rPr>
        <b/>
        <sz val="10"/>
        <rFont val="Arial Narrow"/>
        <family val="2"/>
        <charset val="238"/>
      </rPr>
      <t xml:space="preserve"> ( MaR pouze připojuje )</t>
    </r>
  </si>
  <si>
    <t>RV2</t>
  </si>
  <si>
    <r>
      <t xml:space="preserve">Regulační ventil s havarijní funkcí HU211 HLB1433P1 16/140-20 s pohonem typ SKD 82.51, 24V, 3P, kv=10m3/h   </t>
    </r>
    <r>
      <rPr>
        <b/>
        <sz val="10"/>
        <rFont val="Arial Narrow"/>
        <family val="2"/>
        <charset val="238"/>
      </rPr>
      <t>( MaR pouze připojuje )</t>
    </r>
  </si>
  <si>
    <t>RV1</t>
  </si>
  <si>
    <t>PS1</t>
  </si>
  <si>
    <t>Ponorná sonda k hladinovému relé HZ01</t>
  </si>
  <si>
    <t>E1</t>
  </si>
  <si>
    <t>DMP</t>
  </si>
  <si>
    <t>Snímač tlaku TV, rozsah 0-400kPa, 0-10V, vč. tlakoměrného kohoutu</t>
  </si>
  <si>
    <t>P3, 9, 10</t>
  </si>
  <si>
    <t>Snímač tlaku HV, rozsah 0-1,6MPa, 0(4)-20mA, teplota 140°C, vč.kondenzační smyčky, tlakoměrný kohout</t>
  </si>
  <si>
    <t>P1, 2</t>
  </si>
  <si>
    <t>ZPA</t>
  </si>
  <si>
    <t>Snímač teploty PT1000, T=140°C, kovová hlavice</t>
  </si>
  <si>
    <t>T1, 2</t>
  </si>
  <si>
    <t>Regulátor tlaku, rozsah 25-250kPa, kontaktní výstup, nastavitelná hystereze</t>
  </si>
  <si>
    <t>PH3, PH9</t>
  </si>
  <si>
    <t>RTF1</t>
  </si>
  <si>
    <t xml:space="preserve">Pokojové čidlo teploty, Pt1000 </t>
  </si>
  <si>
    <t>T14</t>
  </si>
  <si>
    <t>ETF1</t>
  </si>
  <si>
    <t>Ponorné čidlo teploty vč.jímky, Pt1000, l=150mm</t>
  </si>
  <si>
    <t>T3,9,5,10,11,12</t>
  </si>
  <si>
    <t>ATF1</t>
  </si>
  <si>
    <t>Venkovní čidlo teploty, Pt1000</t>
  </si>
  <si>
    <t>T13</t>
  </si>
  <si>
    <t>PERIFERIE</t>
  </si>
  <si>
    <t>CELKEM</t>
  </si>
  <si>
    <t>Jednotková cena</t>
  </si>
  <si>
    <t>Typ</t>
  </si>
  <si>
    <t>Popis</t>
  </si>
  <si>
    <t>Položka:</t>
  </si>
  <si>
    <t>Celkem včetně DPH</t>
  </si>
  <si>
    <t>DPH 21%</t>
  </si>
  <si>
    <t>Celkem bez DPH</t>
  </si>
  <si>
    <t>Název rozpočtového celku</t>
  </si>
  <si>
    <t xml:space="preserve">Provozovatel: </t>
  </si>
  <si>
    <t>Dolní Žďár 31, 363 01 OSTROV</t>
  </si>
  <si>
    <t>Ing. Roman HAVLAN – projektová a inženýrská činnost ve výstavbě</t>
  </si>
  <si>
    <t xml:space="preserve">Charakter: </t>
  </si>
  <si>
    <t>Energetika</t>
  </si>
  <si>
    <t>Odvětví:</t>
  </si>
  <si>
    <t>Karlovarský</t>
  </si>
  <si>
    <t xml:space="preserve">Kraj:   </t>
  </si>
  <si>
    <t xml:space="preserve">Místo: </t>
  </si>
  <si>
    <t>Název stavby</t>
  </si>
  <si>
    <t>SOUHRNNÝ ROZPOČET</t>
  </si>
  <si>
    <t>REKONSTRUKCE VÝMĚNÍKOVÉ STANICE, KRUŠNOHORSKÁ 304, OSTROV</t>
  </si>
  <si>
    <t>Rekonstrukce</t>
  </si>
  <si>
    <t>Základní škola praktická a základní škola speciální Ostrov, Krušnohorská 304, Ostrov</t>
  </si>
  <si>
    <t>D1. Technologie</t>
  </si>
  <si>
    <t>D2. Měření a regulace</t>
  </si>
  <si>
    <t>Projektový rozpočet</t>
  </si>
  <si>
    <t>Nezařazeno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</si>
</sst>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_K_č_s_-;\-* #,##0\ _K_č_s_-;_-* &quot;-&quot;\ _K_č_s_-;_-@_-"/>
    <numFmt numFmtId="165" formatCode="_-* #,##0.00\ _K_č_s_-;\-* #,##0.00\ _K_č_s_-;_-* &quot;-&quot;??\ _K_č_s_-;_-@_-"/>
    <numFmt numFmtId="166" formatCode="_-* #,##0\ &quot;Kčs&quot;_-;\-* #,##0\ &quot;Kčs&quot;_-;_-* &quot;-&quot;\ &quot;Kčs&quot;_-;_-@_-"/>
    <numFmt numFmtId="167" formatCode="_-* #,##0.00\ &quot;Kčs&quot;_-;\-* #,##0.00\ &quot;Kčs&quot;_-;_-* &quot;-&quot;??\ &quot;Kčs&quot;_-;_-@_-"/>
    <numFmt numFmtId="168" formatCode="_-* #,##0_-;\-* #,##0_-;_-* &quot;-&quot;_-;_-@_-"/>
    <numFmt numFmtId="169" formatCode="_-* #,##0.00_-;\-* #,##0.00_-;_-* &quot;-&quot;??_-;_-@_-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#,##0\ &quot;Kč&quot;"/>
  </numFmts>
  <fonts count="4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62"/>
      <name val="Arial"/>
      <charset val="238"/>
    </font>
    <font>
      <sz val="10"/>
      <color indexed="61"/>
      <name val="Arial"/>
      <charset val="238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b/>
      <sz val="22"/>
      <color theme="1"/>
      <name val="Calibri"/>
      <family val="2"/>
      <charset val="238"/>
      <scheme val="minor"/>
    </font>
    <font>
      <sz val="10"/>
      <name val="Helv"/>
      <charset val="238"/>
    </font>
    <font>
      <sz val="10"/>
      <name val="Bez Patky"/>
      <family val="2"/>
      <charset val="238"/>
    </font>
    <font>
      <sz val="10"/>
      <name val="MS Sans Serif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color indexed="8"/>
      <name val="Arial"/>
      <charset val="238"/>
    </font>
    <font>
      <b/>
      <u/>
      <sz val="10"/>
      <name val="Arial CE"/>
      <charset val="238"/>
    </font>
    <font>
      <b/>
      <u/>
      <sz val="12"/>
      <name val="Arial CE"/>
      <charset val="238"/>
    </font>
    <font>
      <sz val="11"/>
      <name val="Arial CE"/>
      <family val="2"/>
      <charset val="238"/>
    </font>
    <font>
      <b/>
      <u/>
      <sz val="2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15" fillId="0" borderId="0"/>
    <xf numFmtId="0" fontId="15" fillId="0" borderId="0"/>
    <xf numFmtId="0" fontId="23" fillId="0" borderId="0" applyNumberFormat="0"/>
    <xf numFmtId="0" fontId="15" fillId="0" borderId="0"/>
    <xf numFmtId="0" fontId="26" fillId="0" borderId="0"/>
    <xf numFmtId="0" fontId="2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7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6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</cellStyleXfs>
  <cellXfs count="166">
    <xf numFmtId="0" fontId="3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3" fillId="2" borderId="7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23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5" fillId="2" borderId="7" xfId="0" applyNumberFormat="1" applyFont="1" applyFill="1" applyBorder="1" applyAlignment="1" applyProtection="1">
      <alignment horizontal="right" vertical="center"/>
    </xf>
    <xf numFmtId="4" fontId="5" fillId="2" borderId="0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16" fillId="0" borderId="26" xfId="2" applyNumberFormat="1" applyFont="1" applyFill="1" applyBorder="1" applyAlignment="1">
      <alignment horizontal="left"/>
    </xf>
    <xf numFmtId="0" fontId="16" fillId="0" borderId="26" xfId="2" applyNumberFormat="1" applyFont="1" applyFill="1" applyBorder="1" applyAlignment="1">
      <alignment vertical="center"/>
    </xf>
    <xf numFmtId="49" fontId="20" fillId="0" borderId="26" xfId="3" applyNumberFormat="1" applyFont="1" applyFill="1" applyBorder="1" applyAlignment="1">
      <alignment vertical="center"/>
    </xf>
    <xf numFmtId="49" fontId="16" fillId="0" borderId="26" xfId="3" applyNumberFormat="1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21" fillId="0" borderId="26" xfId="2" applyFont="1" applyFill="1" applyBorder="1" applyAlignment="1">
      <alignment vertical="center"/>
    </xf>
    <xf numFmtId="0" fontId="22" fillId="3" borderId="26" xfId="2" applyFont="1" applyFill="1" applyBorder="1" applyAlignment="1">
      <alignment vertical="center"/>
    </xf>
    <xf numFmtId="0" fontId="24" fillId="0" borderId="27" xfId="4" applyFont="1" applyBorder="1" applyAlignment="1">
      <alignment vertical="top" wrapText="1"/>
    </xf>
    <xf numFmtId="0" fontId="16" fillId="0" borderId="26" xfId="2" applyFont="1" applyFill="1" applyBorder="1" applyAlignment="1">
      <alignment vertical="center" wrapText="1"/>
    </xf>
    <xf numFmtId="49" fontId="16" fillId="0" borderId="26" xfId="5" applyNumberFormat="1" applyFont="1" applyFill="1" applyBorder="1" applyAlignment="1">
      <alignment horizontal="left"/>
    </xf>
    <xf numFmtId="0" fontId="29" fillId="0" borderId="0" xfId="40" applyFont="1" applyBorder="1" applyAlignment="1">
      <alignment horizontal="left" vertical="top"/>
    </xf>
    <xf numFmtId="0" fontId="30" fillId="0" borderId="0" xfId="40" applyFont="1" applyBorder="1" applyAlignment="1">
      <alignment horizontal="left" vertical="top"/>
    </xf>
    <xf numFmtId="0" fontId="30" fillId="0" borderId="21" xfId="40" applyFont="1" applyBorder="1" applyAlignment="1">
      <alignment horizontal="left" vertical="top"/>
    </xf>
    <xf numFmtId="3" fontId="31" fillId="0" borderId="32" xfId="40" applyNumberFormat="1" applyFont="1" applyBorder="1" applyAlignment="1">
      <alignment horizontal="right" vertical="top"/>
    </xf>
    <xf numFmtId="172" fontId="31" fillId="0" borderId="32" xfId="40" applyNumberFormat="1" applyFont="1" applyBorder="1" applyAlignment="1">
      <alignment horizontal="left" vertical="top"/>
    </xf>
    <xf numFmtId="0" fontId="31" fillId="0" borderId="3" xfId="40" applyFont="1" applyBorder="1" applyAlignment="1">
      <alignment horizontal="left" vertical="top"/>
    </xf>
    <xf numFmtId="0" fontId="32" fillId="0" borderId="0" xfId="40" applyFont="1" applyBorder="1" applyAlignment="1">
      <alignment horizontal="left" vertical="top"/>
    </xf>
    <xf numFmtId="0" fontId="29" fillId="0" borderId="34" xfId="40" applyFont="1" applyBorder="1" applyAlignment="1">
      <alignment horizontal="left" vertical="top"/>
    </xf>
    <xf numFmtId="0" fontId="29" fillId="0" borderId="16" xfId="40" applyFont="1" applyBorder="1" applyAlignment="1">
      <alignment horizontal="left" vertical="top"/>
    </xf>
    <xf numFmtId="0" fontId="32" fillId="0" borderId="16" xfId="40" applyFont="1" applyBorder="1" applyAlignment="1">
      <alignment horizontal="left" vertical="top"/>
    </xf>
    <xf numFmtId="0" fontId="32" fillId="0" borderId="1" xfId="40" applyFont="1" applyBorder="1" applyAlignment="1">
      <alignment horizontal="left" vertical="top"/>
    </xf>
    <xf numFmtId="0" fontId="32" fillId="0" borderId="35" xfId="40" applyFont="1" applyBorder="1" applyAlignment="1">
      <alignment horizontal="left" vertical="top"/>
    </xf>
    <xf numFmtId="172" fontId="34" fillId="0" borderId="36" xfId="40" applyNumberFormat="1" applyFont="1" applyBorder="1" applyAlignment="1">
      <alignment horizontal="right" vertical="top"/>
    </xf>
    <xf numFmtId="172" fontId="34" fillId="0" borderId="37" xfId="40" applyNumberFormat="1" applyFont="1" applyBorder="1" applyAlignment="1">
      <alignment horizontal="right" vertical="top"/>
    </xf>
    <xf numFmtId="0" fontId="34" fillId="0" borderId="38" xfId="40" applyFont="1" applyBorder="1" applyAlignment="1">
      <alignment horizontal="left" vertical="top"/>
    </xf>
    <xf numFmtId="0" fontId="35" fillId="0" borderId="0" xfId="40" applyFont="1" applyBorder="1" applyAlignment="1">
      <alignment horizontal="left" vertical="top"/>
    </xf>
    <xf numFmtId="0" fontId="35" fillId="0" borderId="21" xfId="40" applyFont="1" applyBorder="1" applyAlignment="1">
      <alignment horizontal="left" vertical="top"/>
    </xf>
    <xf numFmtId="172" fontId="34" fillId="0" borderId="39" xfId="40" applyNumberFormat="1" applyFont="1" applyBorder="1" applyAlignment="1">
      <alignment horizontal="right" vertical="top"/>
    </xf>
    <xf numFmtId="172" fontId="34" fillId="0" borderId="39" xfId="40" applyNumberFormat="1" applyFont="1" applyBorder="1" applyAlignment="1">
      <alignment horizontal="left" vertical="top"/>
    </xf>
    <xf numFmtId="0" fontId="34" fillId="0" borderId="3" xfId="40" applyFont="1" applyBorder="1" applyAlignment="1">
      <alignment horizontal="left" vertical="top"/>
    </xf>
    <xf numFmtId="3" fontId="36" fillId="0" borderId="32" xfId="40" applyNumberFormat="1" applyFont="1" applyFill="1" applyBorder="1" applyAlignment="1" applyProtection="1">
      <alignment horizontal="right" vertical="center"/>
    </xf>
    <xf numFmtId="0" fontId="29" fillId="0" borderId="0" xfId="40" applyFont="1" applyBorder="1" applyAlignment="1">
      <alignment horizontal="left" vertical="top" wrapText="1"/>
    </xf>
    <xf numFmtId="0" fontId="29" fillId="0" borderId="21" xfId="40" applyFont="1" applyBorder="1" applyAlignment="1">
      <alignment horizontal="left" vertical="top" wrapText="1"/>
    </xf>
    <xf numFmtId="0" fontId="32" fillId="4" borderId="32" xfId="40" applyFont="1" applyFill="1" applyBorder="1" applyAlignment="1">
      <alignment horizontal="left" vertical="top" wrapText="1"/>
    </xf>
    <xf numFmtId="0" fontId="32" fillId="0" borderId="3" xfId="40" applyFont="1" applyBorder="1" applyAlignment="1">
      <alignment horizontal="left" vertical="top" wrapText="1"/>
    </xf>
    <xf numFmtId="0" fontId="29" fillId="0" borderId="21" xfId="40" applyFont="1" applyBorder="1" applyAlignment="1">
      <alignment horizontal="left" vertical="top"/>
    </xf>
    <xf numFmtId="0" fontId="29" fillId="0" borderId="1" xfId="40" applyFont="1" applyBorder="1" applyAlignment="1">
      <alignment horizontal="left" vertical="top"/>
    </xf>
    <xf numFmtId="0" fontId="32" fillId="0" borderId="3" xfId="40" applyFont="1" applyBorder="1" applyAlignment="1">
      <alignment horizontal="left" vertical="top"/>
    </xf>
    <xf numFmtId="0" fontId="39" fillId="0" borderId="0" xfId="40" applyFont="1" applyBorder="1" applyAlignment="1">
      <alignment vertical="top"/>
    </xf>
    <xf numFmtId="0" fontId="32" fillId="0" borderId="0" xfId="40" applyFont="1" applyBorder="1" applyAlignment="1">
      <alignment vertical="top" wrapText="1"/>
    </xf>
    <xf numFmtId="0" fontId="39" fillId="0" borderId="0" xfId="40" applyFont="1" applyBorder="1" applyAlignment="1">
      <alignment vertical="top" wrapText="1"/>
    </xf>
    <xf numFmtId="0" fontId="33" fillId="0" borderId="0" xfId="40" applyFont="1" applyBorder="1" applyAlignment="1">
      <alignment vertical="top"/>
    </xf>
    <xf numFmtId="0" fontId="29" fillId="0" borderId="20" xfId="40" applyFont="1" applyBorder="1" applyAlignment="1">
      <alignment horizontal="left" vertical="top"/>
    </xf>
    <xf numFmtId="0" fontId="29" fillId="0" borderId="8" xfId="40" applyFont="1" applyBorder="1" applyAlignment="1">
      <alignment horizontal="left" vertical="top"/>
    </xf>
    <xf numFmtId="0" fontId="32" fillId="0" borderId="8" xfId="40" applyFont="1" applyBorder="1" applyAlignment="1">
      <alignment horizontal="left" vertical="top"/>
    </xf>
    <xf numFmtId="0" fontId="32" fillId="0" borderId="2" xfId="40" applyFont="1" applyBorder="1" applyAlignment="1">
      <alignment horizontal="left" vertical="top"/>
    </xf>
    <xf numFmtId="3" fontId="33" fillId="0" borderId="33" xfId="40" applyNumberFormat="1" applyFont="1" applyBorder="1" applyAlignment="1">
      <alignment horizontal="center" vertical="center"/>
    </xf>
    <xf numFmtId="0" fontId="1" fillId="0" borderId="0" xfId="42"/>
    <xf numFmtId="0" fontId="1" fillId="0" borderId="0" xfId="42" applyAlignment="1">
      <alignment horizontal="center"/>
    </xf>
    <xf numFmtId="0" fontId="10" fillId="0" borderId="0" xfId="42" applyFont="1"/>
    <xf numFmtId="0" fontId="11" fillId="0" borderId="0" xfId="42" applyNumberFormat="1" applyFont="1" applyFill="1" applyBorder="1" applyAlignment="1" applyProtection="1">
      <alignment horizontal="left"/>
    </xf>
    <xf numFmtId="0" fontId="12" fillId="0" borderId="0" xfId="42" applyFont="1"/>
    <xf numFmtId="0" fontId="12" fillId="0" borderId="0" xfId="42" applyFont="1" applyAlignment="1">
      <alignment horizontal="center"/>
    </xf>
    <xf numFmtId="0" fontId="1" fillId="0" borderId="25" xfId="42" applyBorder="1"/>
    <xf numFmtId="0" fontId="13" fillId="0" borderId="25" xfId="42" applyNumberFormat="1" applyFont="1" applyBorder="1" applyAlignment="1" applyProtection="1">
      <alignment horizontal="left"/>
    </xf>
    <xf numFmtId="0" fontId="12" fillId="0" borderId="25" xfId="42" applyFont="1" applyBorder="1" applyAlignment="1">
      <alignment horizontal="center"/>
    </xf>
    <xf numFmtId="0" fontId="1" fillId="0" borderId="26" xfId="42" applyBorder="1"/>
    <xf numFmtId="0" fontId="13" fillId="0" borderId="26" xfId="42" applyNumberFormat="1" applyFont="1" applyBorder="1" applyAlignment="1" applyProtection="1">
      <alignment horizontal="left"/>
    </xf>
    <xf numFmtId="0" fontId="12" fillId="0" borderId="26" xfId="42" applyFont="1" applyBorder="1" applyAlignment="1">
      <alignment horizontal="center"/>
    </xf>
    <xf numFmtId="0" fontId="12" fillId="0" borderId="26" xfId="42" applyFont="1" applyBorder="1"/>
    <xf numFmtId="0" fontId="1" fillId="0" borderId="26" xfId="42" applyFont="1" applyBorder="1"/>
    <xf numFmtId="0" fontId="1" fillId="0" borderId="26" xfId="42" applyFont="1" applyBorder="1" applyAlignment="1">
      <alignment horizontal="center"/>
    </xf>
    <xf numFmtId="0" fontId="1" fillId="0" borderId="26" xfId="42" applyBorder="1" applyAlignment="1">
      <alignment horizontal="center"/>
    </xf>
    <xf numFmtId="0" fontId="14" fillId="0" borderId="26" xfId="42" applyFont="1" applyBorder="1"/>
    <xf numFmtId="49" fontId="17" fillId="0" borderId="26" xfId="42" applyNumberFormat="1" applyFont="1" applyFill="1" applyBorder="1" applyAlignment="1">
      <alignment horizontal="left"/>
    </xf>
    <xf numFmtId="0" fontId="18" fillId="0" borderId="26" xfId="42" applyFont="1" applyFill="1" applyBorder="1" applyAlignment="1">
      <alignment vertical="center"/>
    </xf>
    <xf numFmtId="49" fontId="16" fillId="0" borderId="26" xfId="42" applyNumberFormat="1" applyFont="1" applyFill="1" applyBorder="1" applyAlignment="1">
      <alignment horizontal="left"/>
    </xf>
    <xf numFmtId="0" fontId="16" fillId="0" borderId="26" xfId="42" applyFont="1" applyFill="1" applyBorder="1" applyAlignment="1"/>
    <xf numFmtId="0" fontId="19" fillId="0" borderId="26" xfId="42" applyFont="1" applyBorder="1" applyAlignment="1">
      <alignment horizontal="center"/>
    </xf>
    <xf numFmtId="0" fontId="19" fillId="0" borderId="26" xfId="42" applyFont="1" applyBorder="1"/>
    <xf numFmtId="0" fontId="19" fillId="0" borderId="26" xfId="42" applyFont="1" applyBorder="1" applyAlignment="1">
      <alignment horizontal="left"/>
    </xf>
    <xf numFmtId="0" fontId="9" fillId="0" borderId="26" xfId="42" applyFont="1" applyBorder="1"/>
    <xf numFmtId="0" fontId="16" fillId="0" borderId="26" xfId="42" applyFont="1" applyFill="1" applyBorder="1" applyAlignment="1">
      <alignment vertical="center"/>
    </xf>
    <xf numFmtId="0" fontId="1" fillId="0" borderId="26" xfId="42" applyBorder="1" applyAlignment="1">
      <alignment horizontal="center" vertical="top"/>
    </xf>
    <xf numFmtId="0" fontId="1" fillId="0" borderId="26" xfId="42" applyBorder="1" applyAlignment="1">
      <alignment vertical="top"/>
    </xf>
    <xf numFmtId="0" fontId="1" fillId="0" borderId="28" xfId="42" applyBorder="1"/>
    <xf numFmtId="0" fontId="9" fillId="0" borderId="28" xfId="42" applyFont="1" applyBorder="1"/>
    <xf numFmtId="0" fontId="1" fillId="0" borderId="28" xfId="42" applyBorder="1" applyAlignment="1">
      <alignment horizontal="center"/>
    </xf>
    <xf numFmtId="0" fontId="1" fillId="0" borderId="0" xfId="42" applyProtection="1">
      <protection locked="0"/>
    </xf>
    <xf numFmtId="0" fontId="1" fillId="0" borderId="24" xfId="42" applyFont="1" applyBorder="1" applyAlignment="1" applyProtection="1">
      <alignment horizontal="center"/>
      <protection locked="0"/>
    </xf>
    <xf numFmtId="0" fontId="1" fillId="0" borderId="29" xfId="42" applyBorder="1"/>
    <xf numFmtId="0" fontId="1" fillId="0" borderId="30" xfId="42" applyBorder="1"/>
    <xf numFmtId="0" fontId="25" fillId="0" borderId="30" xfId="42" applyFont="1" applyBorder="1"/>
    <xf numFmtId="0" fontId="1" fillId="0" borderId="30" xfId="42" applyBorder="1" applyAlignment="1">
      <alignment horizontal="center"/>
    </xf>
    <xf numFmtId="0" fontId="1" fillId="0" borderId="31" xfId="42" applyBorder="1"/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49" fontId="3" fillId="0" borderId="8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21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22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/>
    </xf>
    <xf numFmtId="0" fontId="5" fillId="0" borderId="16" xfId="0" applyNumberFormat="1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4" fontId="3" fillId="0" borderId="0" xfId="0" applyNumberFormat="1" applyFont="1" applyAlignment="1">
      <alignment vertical="center"/>
    </xf>
    <xf numFmtId="172" fontId="38" fillId="0" borderId="42" xfId="40" applyNumberFormat="1" applyFont="1" applyBorder="1" applyAlignment="1">
      <alignment horizontal="left" vertical="top"/>
    </xf>
    <xf numFmtId="0" fontId="37" fillId="0" borderId="41" xfId="40" applyFont="1" applyBorder="1" applyAlignment="1">
      <alignment vertical="top"/>
    </xf>
    <xf numFmtId="0" fontId="37" fillId="0" borderId="40" xfId="40" applyFont="1" applyBorder="1" applyAlignment="1">
      <alignment vertical="top"/>
    </xf>
    <xf numFmtId="0" fontId="40" fillId="0" borderId="1" xfId="40" applyFont="1" applyBorder="1" applyAlignment="1">
      <alignment horizontal="center" vertical="top"/>
    </xf>
    <xf numFmtId="0" fontId="15" fillId="0" borderId="1" xfId="40" applyBorder="1" applyAlignment="1">
      <alignment horizontal="center" vertical="top"/>
    </xf>
    <xf numFmtId="0" fontId="15" fillId="0" borderId="1" xfId="40" applyBorder="1" applyAlignment="1">
      <alignment vertical="top"/>
    </xf>
    <xf numFmtId="0" fontId="32" fillId="0" borderId="0" xfId="40" applyFont="1" applyBorder="1" applyAlignment="1">
      <alignment vertical="top" wrapText="1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9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14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NumberFormat="1" applyFont="1" applyFill="1" applyBorder="1" applyAlignment="1" applyProtection="1">
      <alignment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30" xfId="42" applyBorder="1" applyProtection="1">
      <protection locked="0"/>
    </xf>
    <xf numFmtId="0" fontId="1" fillId="0" borderId="28" xfId="42" applyBorder="1" applyProtection="1">
      <protection locked="0"/>
    </xf>
    <xf numFmtId="0" fontId="1" fillId="0" borderId="26" xfId="42" applyBorder="1" applyProtection="1">
      <protection locked="0"/>
    </xf>
    <xf numFmtId="0" fontId="1" fillId="0" borderId="25" xfId="42" applyBorder="1" applyProtection="1">
      <protection locked="0"/>
    </xf>
    <xf numFmtId="0" fontId="10" fillId="0" borderId="0" xfId="42" applyFont="1" applyProtection="1">
      <protection locked="0"/>
    </xf>
  </cellXfs>
  <cellStyles count="43">
    <cellStyle name="_PERSONAL" xfId="6"/>
    <cellStyle name="_PERSONAL_1" xfId="7"/>
    <cellStyle name="Comma [0]_laroux" xfId="8"/>
    <cellStyle name="Comma_laroux" xfId="9"/>
    <cellStyle name="Currency [0]_laroux" xfId="10"/>
    <cellStyle name="Currency_laroux" xfId="11"/>
    <cellStyle name="Dziesiętny [0]_laroux" xfId="12"/>
    <cellStyle name="Dziesiętny_laroux" xfId="13"/>
    <cellStyle name="Normal_laroux" xfId="14"/>
    <cellStyle name="Normální" xfId="0" builtinId="0"/>
    <cellStyle name="normální 10" xfId="5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1"/>
    <cellStyle name="normální 2 2" xfId="2"/>
    <cellStyle name="normální 20" xfId="24"/>
    <cellStyle name="normální 21" xfId="25"/>
    <cellStyle name="normální 22" xfId="26"/>
    <cellStyle name="normální 23" xfId="27"/>
    <cellStyle name="normální 24" xfId="28"/>
    <cellStyle name="Normální 25" xfId="40"/>
    <cellStyle name="Normální 26" xfId="42"/>
    <cellStyle name="normální 3" xfId="29"/>
    <cellStyle name="normální 4" xfId="30"/>
    <cellStyle name="normální 5" xfId="31"/>
    <cellStyle name="normální 6" xfId="32"/>
    <cellStyle name="normální 7" xfId="33"/>
    <cellStyle name="normální 8" xfId="34"/>
    <cellStyle name="normální 9" xfId="3"/>
    <cellStyle name="normální_Cenik_1" xfId="4"/>
    <cellStyle name="Normalny_laroux" xfId="35"/>
    <cellStyle name="Procenta 2" xfId="41"/>
    <cellStyle name="Standard_aktuell" xfId="36"/>
    <cellStyle name="Styl 1" xfId="37"/>
    <cellStyle name="Walutowy [0]_laroux" xfId="38"/>
    <cellStyle name="Walutowy_laroux" xfId="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"/>
  <sheetViews>
    <sheetView view="pageBreakPreview" zoomScale="90" zoomScaleNormal="100" zoomScaleSheetLayoutView="90" workbookViewId="0">
      <selection activeCell="D35" sqref="D35"/>
    </sheetView>
  </sheetViews>
  <sheetFormatPr defaultRowHeight="12.75"/>
  <cols>
    <col min="1" max="1" width="2.28515625" style="39" customWidth="1"/>
    <col min="2" max="2" width="39" style="39" customWidth="1"/>
    <col min="3" max="5" width="27.28515625" style="39" customWidth="1"/>
    <col min="6" max="6" width="3.28515625" style="39" customWidth="1"/>
    <col min="7" max="16384" width="9.140625" style="39"/>
  </cols>
  <sheetData>
    <row r="2" spans="1:6" ht="43.5" customHeight="1">
      <c r="A2" s="142" t="s">
        <v>1118</v>
      </c>
      <c r="B2" s="143"/>
      <c r="C2" s="143"/>
      <c r="D2" s="143"/>
      <c r="E2" s="144"/>
      <c r="F2" s="144"/>
    </row>
    <row r="3" spans="1:6" ht="9.75" customHeight="1">
      <c r="A3" s="74"/>
      <c r="B3" s="73"/>
      <c r="C3" s="73"/>
      <c r="D3" s="73"/>
      <c r="E3" s="72"/>
      <c r="F3" s="71"/>
    </row>
    <row r="4" spans="1:6" ht="15.75">
      <c r="A4" s="66"/>
      <c r="B4" s="45" t="s">
        <v>1117</v>
      </c>
      <c r="C4" s="70" t="s">
        <v>1119</v>
      </c>
      <c r="D4" s="45"/>
      <c r="F4" s="64"/>
    </row>
    <row r="5" spans="1:6" ht="14.25">
      <c r="A5" s="66"/>
      <c r="B5" s="68" t="s">
        <v>1116</v>
      </c>
      <c r="C5" s="69" t="s">
        <v>601</v>
      </c>
      <c r="D5" s="45"/>
      <c r="F5" s="64"/>
    </row>
    <row r="6" spans="1:6" ht="14.25">
      <c r="A6" s="66"/>
      <c r="B6" s="68" t="s">
        <v>1115</v>
      </c>
      <c r="C6" s="67" t="s">
        <v>1114</v>
      </c>
      <c r="D6" s="45"/>
      <c r="F6" s="64"/>
    </row>
    <row r="7" spans="1:6" ht="14.25">
      <c r="A7" s="66"/>
      <c r="B7" s="68" t="s">
        <v>1113</v>
      </c>
      <c r="C7" s="67" t="s">
        <v>1112</v>
      </c>
      <c r="D7" s="45"/>
      <c r="F7" s="64"/>
    </row>
    <row r="8" spans="1:6" ht="14.25">
      <c r="A8" s="66"/>
      <c r="B8" s="68" t="s">
        <v>1111</v>
      </c>
      <c r="C8" s="67" t="s">
        <v>1120</v>
      </c>
      <c r="D8" s="45"/>
      <c r="F8" s="64"/>
    </row>
    <row r="9" spans="1:6" ht="14.25">
      <c r="A9" s="66"/>
      <c r="B9" s="145" t="s">
        <v>941</v>
      </c>
      <c r="C9" s="67" t="s">
        <v>1110</v>
      </c>
      <c r="D9" s="45"/>
      <c r="F9" s="64"/>
    </row>
    <row r="10" spans="1:6" ht="14.25">
      <c r="A10" s="66"/>
      <c r="B10" s="145"/>
      <c r="C10" s="67" t="s">
        <v>1109</v>
      </c>
      <c r="D10" s="45"/>
      <c r="F10" s="64"/>
    </row>
    <row r="11" spans="1:6" ht="14.25">
      <c r="A11" s="66"/>
      <c r="B11" s="145" t="s">
        <v>1108</v>
      </c>
      <c r="C11" s="67" t="s">
        <v>1121</v>
      </c>
      <c r="D11" s="45"/>
      <c r="F11" s="64"/>
    </row>
    <row r="12" spans="1:6" ht="14.25">
      <c r="A12" s="66"/>
      <c r="B12" s="145"/>
      <c r="C12" s="67"/>
      <c r="D12" s="45"/>
      <c r="F12" s="64"/>
    </row>
    <row r="13" spans="1:6">
      <c r="A13" s="66"/>
      <c r="B13" s="45"/>
      <c r="C13" s="45"/>
      <c r="D13" s="49"/>
      <c r="E13" s="65"/>
      <c r="F13" s="64"/>
    </row>
    <row r="14" spans="1:6" s="60" customFormat="1">
      <c r="A14" s="63"/>
      <c r="B14" s="62" t="s">
        <v>1107</v>
      </c>
      <c r="C14" s="62" t="s">
        <v>1106</v>
      </c>
      <c r="D14" s="62" t="s">
        <v>1105</v>
      </c>
      <c r="E14" s="62" t="s">
        <v>1104</v>
      </c>
      <c r="F14" s="61"/>
    </row>
    <row r="15" spans="1:6" s="40" customFormat="1" ht="15.75">
      <c r="A15" s="44"/>
      <c r="B15" s="139"/>
      <c r="C15" s="140"/>
      <c r="D15" s="140"/>
      <c r="E15" s="141"/>
      <c r="F15" s="41"/>
    </row>
    <row r="16" spans="1:6" s="40" customFormat="1" ht="15.75">
      <c r="A16" s="44"/>
      <c r="B16" s="43" t="s">
        <v>1122</v>
      </c>
      <c r="C16" s="59">
        <f>+'D1. Technologie'!J362</f>
        <v>0</v>
      </c>
      <c r="D16" s="42">
        <f>+C16*0.21</f>
        <v>0</v>
      </c>
      <c r="E16" s="42">
        <f>+C16+D16</f>
        <v>0</v>
      </c>
      <c r="F16" s="41"/>
    </row>
    <row r="17" spans="1:6" s="40" customFormat="1" ht="15.75">
      <c r="A17" s="44"/>
      <c r="B17" s="43" t="s">
        <v>1123</v>
      </c>
      <c r="C17" s="42">
        <f>+'D2. MaR'!F96</f>
        <v>0</v>
      </c>
      <c r="D17" s="42">
        <f>+C17*0.21</f>
        <v>0</v>
      </c>
      <c r="E17" s="42">
        <f>+C17+D17</f>
        <v>0</v>
      </c>
      <c r="F17" s="41"/>
    </row>
    <row r="18" spans="1:6" s="54" customFormat="1" ht="16.5" thickBot="1">
      <c r="A18" s="58"/>
      <c r="B18" s="57"/>
      <c r="C18" s="56"/>
      <c r="D18" s="56"/>
      <c r="E18" s="56"/>
      <c r="F18" s="55"/>
    </row>
    <row r="19" spans="1:6" s="40" customFormat="1" ht="16.5" thickBot="1">
      <c r="A19" s="44"/>
      <c r="B19" s="53" t="s">
        <v>948</v>
      </c>
      <c r="C19" s="52">
        <f>SUM(C16:C18)</f>
        <v>0</v>
      </c>
      <c r="D19" s="52">
        <f>SUM(D16:D18)</f>
        <v>0</v>
      </c>
      <c r="E19" s="51">
        <f>SUM(E16:E18)</f>
        <v>0</v>
      </c>
      <c r="F19" s="41"/>
    </row>
    <row r="20" spans="1:6">
      <c r="A20" s="50"/>
      <c r="B20" s="49"/>
      <c r="C20" s="49"/>
      <c r="D20" s="48"/>
      <c r="E20" s="47"/>
      <c r="F20" s="46"/>
    </row>
    <row r="21" spans="1:6">
      <c r="A21" s="45"/>
      <c r="B21" s="45"/>
      <c r="C21" s="45"/>
      <c r="D21" s="45"/>
    </row>
    <row r="22" spans="1:6" ht="13.5" thickBot="1">
      <c r="A22" s="45"/>
      <c r="B22" s="45"/>
      <c r="C22" s="45"/>
      <c r="D22" s="45"/>
    </row>
    <row r="23" spans="1:6" ht="16.5" thickBot="1">
      <c r="A23" s="45"/>
      <c r="B23" s="45"/>
      <c r="C23" s="45"/>
      <c r="E23" s="75">
        <v>15002</v>
      </c>
    </row>
    <row r="24" spans="1:6">
      <c r="A24" s="45"/>
      <c r="B24" s="45"/>
      <c r="C24" s="45"/>
      <c r="D24" s="45"/>
    </row>
    <row r="25" spans="1:6">
      <c r="A25" s="45"/>
      <c r="B25" s="45"/>
      <c r="C25" s="45"/>
      <c r="D25" s="45"/>
    </row>
  </sheetData>
  <sheetProtection password="CA38" sheet="1" objects="1" scenarios="1"/>
  <mergeCells count="4">
    <mergeCell ref="B15:E15"/>
    <mergeCell ref="A2:F2"/>
    <mergeCell ref="B9:B10"/>
    <mergeCell ref="B11:B12"/>
  </mergeCells>
  <pageMargins left="0.78740157480314965" right="0.78740157480314965" top="0.98425196850393704" bottom="0.98425196850393704" header="0.51181102362204722" footer="0.51181102362204722"/>
  <pageSetup paperSize="9" fitToHeight="12" orientation="landscape" r:id="rId1"/>
  <headerFooter>
    <oddFooter>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62"/>
  <sheetViews>
    <sheetView tabSelected="1" view="pageBreakPreview" topLeftCell="A304" zoomScale="74" zoomScaleNormal="100" zoomScaleSheetLayoutView="74" workbookViewId="0">
      <selection activeCell="F332" sqref="F332"/>
    </sheetView>
  </sheetViews>
  <sheetFormatPr defaultRowHeight="12.75"/>
  <cols>
    <col min="1" max="2" width="3.7109375" customWidth="1"/>
    <col min="3" max="3" width="13.28515625" customWidth="1"/>
    <col min="4" max="4" width="59.140625" customWidth="1"/>
    <col min="5" max="5" width="4.28515625" customWidth="1"/>
    <col min="6" max="6" width="10.85546875" customWidth="1"/>
    <col min="7" max="7" width="12" style="160" customWidth="1"/>
    <col min="8" max="10" width="14.28515625" customWidth="1"/>
    <col min="11" max="12" width="11.7109375" customWidth="1"/>
    <col min="13" max="13" width="11.42578125" customWidth="1"/>
    <col min="14" max="37" width="12.140625" hidden="1" customWidth="1"/>
    <col min="38" max="256" width="11.42578125" customWidth="1"/>
  </cols>
  <sheetData>
    <row r="1" spans="1:37" ht="21.95" customHeight="1">
      <c r="A1" s="116" t="s">
        <v>0</v>
      </c>
      <c r="B1" s="117"/>
      <c r="C1" s="117"/>
      <c r="D1" s="117"/>
      <c r="E1" s="117"/>
      <c r="F1" s="117"/>
      <c r="G1" s="146"/>
      <c r="H1" s="117"/>
      <c r="I1" s="117"/>
      <c r="J1" s="117"/>
      <c r="K1" s="117"/>
      <c r="L1" s="117"/>
    </row>
    <row r="2" spans="1:37">
      <c r="A2" s="118" t="s">
        <v>1</v>
      </c>
      <c r="B2" s="8"/>
      <c r="C2" s="8"/>
      <c r="D2" s="119" t="s">
        <v>599</v>
      </c>
      <c r="E2" s="120" t="s">
        <v>914</v>
      </c>
      <c r="F2" s="8"/>
      <c r="G2" s="147"/>
      <c r="H2" s="8"/>
      <c r="I2" s="120" t="s">
        <v>940</v>
      </c>
      <c r="J2" s="120" t="s">
        <v>945</v>
      </c>
      <c r="K2" s="8"/>
      <c r="L2" s="121"/>
      <c r="M2" s="20"/>
    </row>
    <row r="3" spans="1:37">
      <c r="A3" s="20"/>
      <c r="B3" s="122"/>
      <c r="C3" s="122"/>
      <c r="D3" s="123"/>
      <c r="E3" s="122"/>
      <c r="F3" s="122"/>
      <c r="G3" s="148"/>
      <c r="H3" s="122"/>
      <c r="I3" s="122"/>
      <c r="J3" s="122"/>
      <c r="K3" s="122"/>
      <c r="L3" s="124"/>
      <c r="M3" s="20"/>
    </row>
    <row r="4" spans="1:37">
      <c r="A4" s="125" t="s">
        <v>2</v>
      </c>
      <c r="B4" s="122"/>
      <c r="C4" s="122"/>
      <c r="D4" s="126" t="s">
        <v>600</v>
      </c>
      <c r="E4" s="126" t="s">
        <v>915</v>
      </c>
      <c r="F4" s="122"/>
      <c r="G4" s="149" t="s">
        <v>5</v>
      </c>
      <c r="H4" s="122"/>
      <c r="I4" s="126" t="s">
        <v>941</v>
      </c>
      <c r="J4" s="126" t="s">
        <v>946</v>
      </c>
      <c r="K4" s="122"/>
      <c r="L4" s="124"/>
      <c r="M4" s="20"/>
    </row>
    <row r="5" spans="1:37">
      <c r="A5" s="20"/>
      <c r="B5" s="122"/>
      <c r="C5" s="122"/>
      <c r="D5" s="122"/>
      <c r="E5" s="122"/>
      <c r="F5" s="122"/>
      <c r="G5" s="148"/>
      <c r="H5" s="122"/>
      <c r="I5" s="122"/>
      <c r="J5" s="122"/>
      <c r="K5" s="122"/>
      <c r="L5" s="124"/>
      <c r="M5" s="20"/>
    </row>
    <row r="6" spans="1:37">
      <c r="A6" s="125" t="s">
        <v>3</v>
      </c>
      <c r="B6" s="122"/>
      <c r="C6" s="122"/>
      <c r="D6" s="126" t="s">
        <v>601</v>
      </c>
      <c r="E6" s="126" t="s">
        <v>916</v>
      </c>
      <c r="F6" s="122"/>
      <c r="G6" s="148"/>
      <c r="H6" s="122"/>
      <c r="I6" s="126" t="s">
        <v>942</v>
      </c>
      <c r="J6" s="126"/>
      <c r="K6" s="122"/>
      <c r="L6" s="124"/>
      <c r="M6" s="20"/>
    </row>
    <row r="7" spans="1:37">
      <c r="A7" s="20"/>
      <c r="B7" s="122"/>
      <c r="C7" s="122"/>
      <c r="D7" s="122"/>
      <c r="E7" s="122"/>
      <c r="F7" s="122"/>
      <c r="G7" s="148"/>
      <c r="H7" s="122"/>
      <c r="I7" s="122"/>
      <c r="J7" s="122"/>
      <c r="K7" s="122"/>
      <c r="L7" s="124"/>
      <c r="M7" s="20"/>
    </row>
    <row r="8" spans="1:37">
      <c r="A8" s="125" t="s">
        <v>4</v>
      </c>
      <c r="B8" s="122"/>
      <c r="C8" s="122"/>
      <c r="D8" s="126"/>
      <c r="E8" s="126" t="s">
        <v>917</v>
      </c>
      <c r="F8" s="122"/>
      <c r="G8" s="150">
        <v>42129</v>
      </c>
      <c r="H8" s="122"/>
      <c r="I8" s="126" t="s">
        <v>943</v>
      </c>
      <c r="J8" s="126" t="s">
        <v>947</v>
      </c>
      <c r="K8" s="122"/>
      <c r="L8" s="124"/>
      <c r="M8" s="20"/>
    </row>
    <row r="9" spans="1:37" ht="13.5" thickBot="1">
      <c r="A9" s="127"/>
      <c r="B9" s="128"/>
      <c r="C9" s="128"/>
      <c r="D9" s="128"/>
      <c r="E9" s="128"/>
      <c r="F9" s="128"/>
      <c r="G9" s="151"/>
      <c r="H9" s="128"/>
      <c r="I9" s="128"/>
      <c r="J9" s="128"/>
      <c r="K9" s="128"/>
      <c r="L9" s="129"/>
      <c r="M9" s="20"/>
    </row>
    <row r="10" spans="1:37">
      <c r="A10" s="1" t="s">
        <v>5</v>
      </c>
      <c r="B10" s="9" t="s">
        <v>5</v>
      </c>
      <c r="C10" s="9" t="s">
        <v>5</v>
      </c>
      <c r="D10" s="9" t="s">
        <v>5</v>
      </c>
      <c r="E10" s="9" t="s">
        <v>5</v>
      </c>
      <c r="F10" s="9" t="s">
        <v>5</v>
      </c>
      <c r="G10" s="152" t="s">
        <v>935</v>
      </c>
      <c r="H10" s="130" t="s">
        <v>937</v>
      </c>
      <c r="I10" s="131"/>
      <c r="J10" s="132"/>
      <c r="K10" s="130" t="s">
        <v>949</v>
      </c>
      <c r="L10" s="132"/>
      <c r="M10" s="21"/>
    </row>
    <row r="11" spans="1:37" ht="13.5" thickBot="1">
      <c r="A11" s="2" t="s">
        <v>6</v>
      </c>
      <c r="B11" s="10" t="s">
        <v>305</v>
      </c>
      <c r="C11" s="10" t="s">
        <v>314</v>
      </c>
      <c r="D11" s="10" t="s">
        <v>602</v>
      </c>
      <c r="E11" s="10" t="s">
        <v>918</v>
      </c>
      <c r="F11" s="11" t="s">
        <v>934</v>
      </c>
      <c r="G11" s="153" t="s">
        <v>936</v>
      </c>
      <c r="H11" s="15" t="s">
        <v>938</v>
      </c>
      <c r="I11" s="16" t="s">
        <v>944</v>
      </c>
      <c r="J11" s="17" t="s">
        <v>948</v>
      </c>
      <c r="K11" s="15" t="s">
        <v>935</v>
      </c>
      <c r="L11" s="17" t="s">
        <v>948</v>
      </c>
      <c r="M11" s="21"/>
      <c r="P11" s="19" t="s">
        <v>951</v>
      </c>
      <c r="Q11" s="19" t="s">
        <v>952</v>
      </c>
      <c r="R11" s="19" t="s">
        <v>958</v>
      </c>
      <c r="S11" s="19" t="s">
        <v>959</v>
      </c>
      <c r="T11" s="19" t="s">
        <v>960</v>
      </c>
      <c r="U11" s="19" t="s">
        <v>961</v>
      </c>
      <c r="V11" s="19" t="s">
        <v>962</v>
      </c>
      <c r="W11" s="19" t="s">
        <v>963</v>
      </c>
      <c r="X11" s="19" t="s">
        <v>964</v>
      </c>
    </row>
    <row r="12" spans="1:37">
      <c r="A12" s="3"/>
      <c r="B12" s="3"/>
      <c r="C12" s="115"/>
      <c r="D12" s="133" t="s">
        <v>603</v>
      </c>
      <c r="E12" s="134"/>
      <c r="F12" s="134"/>
      <c r="G12" s="154"/>
      <c r="H12" s="25"/>
      <c r="I12" s="25"/>
      <c r="J12" s="25"/>
      <c r="K12" s="18"/>
      <c r="L12" s="25">
        <f>L13+L19</f>
        <v>0.14176</v>
      </c>
    </row>
    <row r="13" spans="1:37">
      <c r="A13" s="4"/>
      <c r="B13" s="4"/>
      <c r="C13" s="114" t="s">
        <v>315</v>
      </c>
      <c r="D13" s="135" t="s">
        <v>604</v>
      </c>
      <c r="E13" s="136"/>
      <c r="F13" s="136"/>
      <c r="G13" s="155"/>
      <c r="H13" s="26"/>
      <c r="I13" s="26"/>
      <c r="J13" s="26"/>
      <c r="K13" s="19"/>
      <c r="L13" s="26">
        <f>SUM(L14:L18)</f>
        <v>7.979E-2</v>
      </c>
      <c r="P13" s="26">
        <f>IF(Q13="PR",J13,SUM(O14:O18))</f>
        <v>0</v>
      </c>
      <c r="Q13" s="19" t="s">
        <v>953</v>
      </c>
      <c r="R13" s="26">
        <f>IF(Q13="HS",H13,0)</f>
        <v>0</v>
      </c>
      <c r="S13" s="26">
        <f>IF(Q13="HS",I13-P13,0)</f>
        <v>0</v>
      </c>
      <c r="T13" s="26">
        <f>IF(Q13="PS",H13,0)</f>
        <v>0</v>
      </c>
      <c r="U13" s="26">
        <f>IF(Q13="PS",I13-P13,0)</f>
        <v>0</v>
      </c>
      <c r="V13" s="26">
        <f>IF(Q13="MP",H13,0)</f>
        <v>0</v>
      </c>
      <c r="W13" s="26">
        <f>IF(Q13="MP",I13-P13,0)</f>
        <v>0</v>
      </c>
      <c r="X13" s="26">
        <f>IF(Q13="OM",H13,0)</f>
        <v>0</v>
      </c>
      <c r="Y13" s="19" t="s">
        <v>306</v>
      </c>
      <c r="AI13" s="26">
        <f>SUM(Z14:Z18)</f>
        <v>0</v>
      </c>
      <c r="AJ13" s="26">
        <f>SUM(AA14:AA18)</f>
        <v>0</v>
      </c>
      <c r="AK13" s="26">
        <f>SUM(AB14:AB18)</f>
        <v>0</v>
      </c>
    </row>
    <row r="14" spans="1:37">
      <c r="A14" s="5" t="s">
        <v>7</v>
      </c>
      <c r="B14" s="5" t="s">
        <v>306</v>
      </c>
      <c r="C14" s="5" t="s">
        <v>316</v>
      </c>
      <c r="D14" s="5" t="s">
        <v>605</v>
      </c>
      <c r="E14" s="5" t="s">
        <v>919</v>
      </c>
      <c r="F14" s="12">
        <v>1</v>
      </c>
      <c r="G14" s="156"/>
      <c r="H14" s="12"/>
      <c r="I14" s="12"/>
      <c r="J14" s="12">
        <f>ROUND(F14*G14,2)</f>
        <v>0</v>
      </c>
      <c r="K14" s="12">
        <v>0</v>
      </c>
      <c r="L14" s="12">
        <f>F14*K14</f>
        <v>0</v>
      </c>
      <c r="N14" s="22" t="s">
        <v>950</v>
      </c>
      <c r="O14" s="12">
        <f>IF(N14="5",I14,0)</f>
        <v>0</v>
      </c>
      <c r="Z14" s="12">
        <f>IF(AD14=0,J14,0)</f>
        <v>0</v>
      </c>
      <c r="AA14" s="12">
        <f>IF(AD14=15,J14,0)</f>
        <v>0</v>
      </c>
      <c r="AB14" s="12">
        <f>IF(AD14=21,J14,0)</f>
        <v>0</v>
      </c>
      <c r="AD14" s="24">
        <v>21</v>
      </c>
      <c r="AE14" s="24">
        <f>G14*1</f>
        <v>0</v>
      </c>
      <c r="AF14" s="24">
        <f>G14*(1-1)</f>
        <v>0</v>
      </c>
    </row>
    <row r="15" spans="1:37">
      <c r="A15" s="5" t="s">
        <v>8</v>
      </c>
      <c r="B15" s="5" t="s">
        <v>306</v>
      </c>
      <c r="C15" s="5" t="s">
        <v>317</v>
      </c>
      <c r="D15" s="5" t="s">
        <v>606</v>
      </c>
      <c r="E15" s="5" t="s">
        <v>919</v>
      </c>
      <c r="F15" s="12">
        <v>1</v>
      </c>
      <c r="G15" s="156"/>
      <c r="H15" s="12"/>
      <c r="I15" s="12"/>
      <c r="J15" s="12">
        <f>ROUND(F15*G15,2)</f>
        <v>0</v>
      </c>
      <c r="K15" s="12">
        <v>0</v>
      </c>
      <c r="L15" s="12">
        <f>F15*K15</f>
        <v>0</v>
      </c>
      <c r="N15" s="22" t="s">
        <v>950</v>
      </c>
      <c r="O15" s="12">
        <f>IF(N15="5",I15,0)</f>
        <v>0</v>
      </c>
      <c r="Z15" s="12">
        <f>IF(AD15=0,J15,0)</f>
        <v>0</v>
      </c>
      <c r="AA15" s="12">
        <f>IF(AD15=15,J15,0)</f>
        <v>0</v>
      </c>
      <c r="AB15" s="12">
        <f>IF(AD15=21,J15,0)</f>
        <v>0</v>
      </c>
      <c r="AD15" s="24">
        <v>21</v>
      </c>
      <c r="AE15" s="24">
        <f>G15*1</f>
        <v>0</v>
      </c>
      <c r="AF15" s="24">
        <f>G15*(1-1)</f>
        <v>0</v>
      </c>
    </row>
    <row r="16" spans="1:37">
      <c r="A16" s="6" t="s">
        <v>9</v>
      </c>
      <c r="B16" s="6" t="s">
        <v>306</v>
      </c>
      <c r="C16" s="6" t="s">
        <v>318</v>
      </c>
      <c r="D16" s="6" t="s">
        <v>607</v>
      </c>
      <c r="E16" s="6" t="s">
        <v>920</v>
      </c>
      <c r="F16" s="13">
        <v>1</v>
      </c>
      <c r="G16" s="157"/>
      <c r="H16" s="13"/>
      <c r="I16" s="13"/>
      <c r="J16" s="13">
        <f>ROUND(F16*G16,2)</f>
        <v>0</v>
      </c>
      <c r="K16" s="13">
        <v>3.3649999999999999E-2</v>
      </c>
      <c r="L16" s="13">
        <f>F16*K16</f>
        <v>3.3649999999999999E-2</v>
      </c>
      <c r="N16" s="23" t="s">
        <v>7</v>
      </c>
      <c r="O16" s="13">
        <f>IF(N16="5",I16,0)</f>
        <v>0</v>
      </c>
      <c r="Z16" s="13">
        <f>IF(AD16=0,J16,0)</f>
        <v>0</v>
      </c>
      <c r="AA16" s="13">
        <f>IF(AD16=15,J16,0)</f>
        <v>0</v>
      </c>
      <c r="AB16" s="13">
        <f>IF(AD16=21,J16,0)</f>
        <v>0</v>
      </c>
      <c r="AD16" s="24">
        <v>21</v>
      </c>
      <c r="AE16" s="24">
        <f>G16*0.756254054054054</f>
        <v>0</v>
      </c>
      <c r="AF16" s="24">
        <f>G16*(1-0.756254054054054)</f>
        <v>0</v>
      </c>
    </row>
    <row r="17" spans="1:38">
      <c r="A17" s="6" t="s">
        <v>10</v>
      </c>
      <c r="B17" s="6" t="s">
        <v>306</v>
      </c>
      <c r="C17" s="6" t="s">
        <v>319</v>
      </c>
      <c r="D17" s="6" t="s">
        <v>608</v>
      </c>
      <c r="E17" s="6" t="s">
        <v>920</v>
      </c>
      <c r="F17" s="13">
        <v>1</v>
      </c>
      <c r="G17" s="157"/>
      <c r="H17" s="13"/>
      <c r="I17" s="13"/>
      <c r="J17" s="13">
        <f>ROUND(F17*G17,2)</f>
        <v>0</v>
      </c>
      <c r="K17" s="13">
        <v>4.614E-2</v>
      </c>
      <c r="L17" s="13">
        <f>F17*K17</f>
        <v>4.614E-2</v>
      </c>
      <c r="N17" s="23" t="s">
        <v>7</v>
      </c>
      <c r="O17" s="13">
        <f>IF(N17="5",I17,0)</f>
        <v>0</v>
      </c>
      <c r="Z17" s="13">
        <f>IF(AD17=0,J17,0)</f>
        <v>0</v>
      </c>
      <c r="AA17" s="13">
        <f>IF(AD17=15,J17,0)</f>
        <v>0</v>
      </c>
      <c r="AB17" s="13">
        <f>IF(AD17=21,J17,0)</f>
        <v>0</v>
      </c>
      <c r="AD17" s="24">
        <v>21</v>
      </c>
      <c r="AE17" s="24">
        <f>G17*0.728779547208149</f>
        <v>0</v>
      </c>
      <c r="AF17" s="24">
        <f>G17*(1-0.728779547208149)</f>
        <v>0</v>
      </c>
    </row>
    <row r="18" spans="1:38">
      <c r="A18" s="6" t="s">
        <v>11</v>
      </c>
      <c r="B18" s="6" t="s">
        <v>306</v>
      </c>
      <c r="C18" s="6" t="s">
        <v>320</v>
      </c>
      <c r="D18" s="6" t="s">
        <v>609</v>
      </c>
      <c r="E18" s="6" t="s">
        <v>919</v>
      </c>
      <c r="F18" s="13">
        <v>1</v>
      </c>
      <c r="G18" s="157"/>
      <c r="H18" s="13"/>
      <c r="I18" s="13"/>
      <c r="J18" s="13">
        <f>ROUND(F18*G18,2)</f>
        <v>0</v>
      </c>
      <c r="K18" s="13">
        <v>0</v>
      </c>
      <c r="L18" s="13">
        <f>F18*K18</f>
        <v>0</v>
      </c>
      <c r="N18" s="23" t="s">
        <v>11</v>
      </c>
      <c r="O18" s="13">
        <f>IF(N18="5",I18,0)</f>
        <v>0</v>
      </c>
      <c r="Z18" s="13">
        <f>IF(AD18=0,J18,0)</f>
        <v>0</v>
      </c>
      <c r="AA18" s="13">
        <f>IF(AD18=15,J18,0)</f>
        <v>0</v>
      </c>
      <c r="AB18" s="13">
        <f>IF(AD18=21,J18,0)</f>
        <v>0</v>
      </c>
      <c r="AD18" s="24">
        <v>21</v>
      </c>
      <c r="AE18" s="24">
        <f>G18*0</f>
        <v>0</v>
      </c>
      <c r="AF18" s="24">
        <f>G18*(1-0)</f>
        <v>0</v>
      </c>
    </row>
    <row r="19" spans="1:38">
      <c r="A19" s="4"/>
      <c r="B19" s="4"/>
      <c r="C19" s="114" t="s">
        <v>321</v>
      </c>
      <c r="D19" s="135" t="s">
        <v>610</v>
      </c>
      <c r="E19" s="136"/>
      <c r="F19" s="136"/>
      <c r="G19" s="155"/>
      <c r="H19" s="26"/>
      <c r="I19" s="26"/>
      <c r="J19" s="26"/>
      <c r="K19" s="19"/>
      <c r="L19" s="26">
        <f>SUM(L20:L40)</f>
        <v>6.1969999999999997E-2</v>
      </c>
      <c r="P19" s="26">
        <f>IF(Q19="PR",J19,SUM(O20:O40))</f>
        <v>0</v>
      </c>
      <c r="Q19" s="19" t="s">
        <v>953</v>
      </c>
      <c r="R19" s="26">
        <f>IF(Q19="HS",H19,0)</f>
        <v>0</v>
      </c>
      <c r="S19" s="26">
        <f>IF(Q19="HS",I19-P19,0)</f>
        <v>0</v>
      </c>
      <c r="T19" s="26">
        <f>IF(Q19="PS",H19,0)</f>
        <v>0</v>
      </c>
      <c r="U19" s="26">
        <f>IF(Q19="PS",I19-P19,0)</f>
        <v>0</v>
      </c>
      <c r="V19" s="26">
        <f>IF(Q19="MP",H19,0)</f>
        <v>0</v>
      </c>
      <c r="W19" s="26">
        <f>IF(Q19="MP",I19-P19,0)</f>
        <v>0</v>
      </c>
      <c r="X19" s="26">
        <f>IF(Q19="OM",H19,0)</f>
        <v>0</v>
      </c>
      <c r="Y19" s="19" t="s">
        <v>306</v>
      </c>
      <c r="AI19" s="26">
        <f>SUM(Z20:Z40)</f>
        <v>0</v>
      </c>
      <c r="AJ19" s="26">
        <f>SUM(AA20:AA40)</f>
        <v>0</v>
      </c>
      <c r="AK19" s="26">
        <f>SUM(AB20:AB40)</f>
        <v>0</v>
      </c>
    </row>
    <row r="20" spans="1:38">
      <c r="A20" s="5" t="s">
        <v>12</v>
      </c>
      <c r="B20" s="5" t="s">
        <v>306</v>
      </c>
      <c r="C20" s="5" t="s">
        <v>322</v>
      </c>
      <c r="D20" s="5" t="s">
        <v>611</v>
      </c>
      <c r="E20" s="5" t="s">
        <v>921</v>
      </c>
      <c r="F20" s="12">
        <v>1</v>
      </c>
      <c r="G20" s="156"/>
      <c r="H20" s="12"/>
      <c r="I20" s="12"/>
      <c r="J20" s="12">
        <f t="shared" ref="J20:J40" si="0">ROUND(F20*G20,2)</f>
        <v>0</v>
      </c>
      <c r="K20" s="12">
        <v>3.5000000000000001E-3</v>
      </c>
      <c r="L20" s="12">
        <f t="shared" ref="L20:L40" si="1">F20*K20</f>
        <v>3.5000000000000001E-3</v>
      </c>
      <c r="N20" s="22" t="s">
        <v>950</v>
      </c>
      <c r="O20" s="12">
        <f t="shared" ref="O20:O40" si="2">IF(N20="5",I20,0)</f>
        <v>0</v>
      </c>
      <c r="Z20" s="12">
        <f t="shared" ref="Z20:Z40" si="3">IF(AD20=0,J20,0)</f>
        <v>0</v>
      </c>
      <c r="AA20" s="12">
        <f t="shared" ref="AA20:AA40" si="4">IF(AD20=15,J20,0)</f>
        <v>0</v>
      </c>
      <c r="AB20" s="12">
        <f t="shared" ref="AB20:AB40" si="5">IF(AD20=21,J20,0)</f>
        <v>0</v>
      </c>
      <c r="AD20" s="24">
        <v>21</v>
      </c>
      <c r="AE20" s="24">
        <f t="shared" ref="AE20:AE29" si="6">G20*1</f>
        <v>0</v>
      </c>
      <c r="AF20" s="24">
        <f t="shared" ref="AF20:AF29" si="7">G20*(1-1)</f>
        <v>0</v>
      </c>
    </row>
    <row r="21" spans="1:38">
      <c r="A21" s="5" t="s">
        <v>13</v>
      </c>
      <c r="B21" s="5" t="s">
        <v>306</v>
      </c>
      <c r="C21" s="5" t="s">
        <v>323</v>
      </c>
      <c r="D21" s="5" t="s">
        <v>612</v>
      </c>
      <c r="E21" s="5" t="s">
        <v>922</v>
      </c>
      <c r="F21" s="12">
        <v>1</v>
      </c>
      <c r="G21" s="156"/>
      <c r="H21" s="12"/>
      <c r="I21" s="12"/>
      <c r="J21" s="12">
        <f t="shared" si="0"/>
        <v>0</v>
      </c>
      <c r="K21" s="12">
        <v>0</v>
      </c>
      <c r="L21" s="12">
        <f t="shared" si="1"/>
        <v>0</v>
      </c>
      <c r="N21" s="22" t="s">
        <v>950</v>
      </c>
      <c r="O21" s="12">
        <f t="shared" si="2"/>
        <v>0</v>
      </c>
      <c r="Z21" s="12">
        <f t="shared" si="3"/>
        <v>0</v>
      </c>
      <c r="AA21" s="12">
        <f t="shared" si="4"/>
        <v>0</v>
      </c>
      <c r="AB21" s="12">
        <f t="shared" si="5"/>
        <v>0</v>
      </c>
      <c r="AD21" s="24">
        <v>21</v>
      </c>
      <c r="AE21" s="24">
        <f t="shared" si="6"/>
        <v>0</v>
      </c>
      <c r="AF21" s="24">
        <f t="shared" si="7"/>
        <v>0</v>
      </c>
    </row>
    <row r="22" spans="1:38">
      <c r="A22" s="5" t="s">
        <v>14</v>
      </c>
      <c r="B22" s="5" t="s">
        <v>306</v>
      </c>
      <c r="C22" s="5" t="s">
        <v>324</v>
      </c>
      <c r="D22" s="5" t="s">
        <v>613</v>
      </c>
      <c r="E22" s="5" t="s">
        <v>921</v>
      </c>
      <c r="F22" s="12">
        <v>1</v>
      </c>
      <c r="G22" s="156"/>
      <c r="H22" s="12"/>
      <c r="I22" s="12"/>
      <c r="J22" s="12">
        <f t="shared" si="0"/>
        <v>0</v>
      </c>
      <c r="K22" s="12">
        <v>0</v>
      </c>
      <c r="L22" s="12">
        <f t="shared" si="1"/>
        <v>0</v>
      </c>
      <c r="N22" s="22" t="s">
        <v>950</v>
      </c>
      <c r="O22" s="12">
        <f t="shared" si="2"/>
        <v>0</v>
      </c>
      <c r="Z22" s="12">
        <f t="shared" si="3"/>
        <v>0</v>
      </c>
      <c r="AA22" s="12">
        <f t="shared" si="4"/>
        <v>0</v>
      </c>
      <c r="AB22" s="12">
        <f t="shared" si="5"/>
        <v>0</v>
      </c>
      <c r="AD22" s="24">
        <v>21</v>
      </c>
      <c r="AE22" s="24">
        <f t="shared" si="6"/>
        <v>0</v>
      </c>
      <c r="AF22" s="24">
        <f t="shared" si="7"/>
        <v>0</v>
      </c>
    </row>
    <row r="23" spans="1:38">
      <c r="A23" s="5" t="s">
        <v>15</v>
      </c>
      <c r="B23" s="5" t="s">
        <v>306</v>
      </c>
      <c r="C23" s="5" t="s">
        <v>325</v>
      </c>
      <c r="D23" s="5" t="s">
        <v>614</v>
      </c>
      <c r="E23" s="5" t="s">
        <v>923</v>
      </c>
      <c r="F23" s="12">
        <v>1</v>
      </c>
      <c r="G23" s="156"/>
      <c r="H23" s="12"/>
      <c r="I23" s="12"/>
      <c r="J23" s="12">
        <f t="shared" si="0"/>
        <v>0</v>
      </c>
      <c r="K23" s="12">
        <v>0</v>
      </c>
      <c r="L23" s="12">
        <f t="shared" si="1"/>
        <v>0</v>
      </c>
      <c r="N23" s="22" t="s">
        <v>950</v>
      </c>
      <c r="O23" s="12">
        <f t="shared" si="2"/>
        <v>0</v>
      </c>
      <c r="Z23" s="12">
        <f t="shared" si="3"/>
        <v>0</v>
      </c>
      <c r="AA23" s="12">
        <f t="shared" si="4"/>
        <v>0</v>
      </c>
      <c r="AB23" s="12">
        <f t="shared" si="5"/>
        <v>0</v>
      </c>
      <c r="AD23" s="24">
        <v>21</v>
      </c>
      <c r="AE23" s="24">
        <f t="shared" si="6"/>
        <v>0</v>
      </c>
      <c r="AF23" s="24">
        <f t="shared" si="7"/>
        <v>0</v>
      </c>
    </row>
    <row r="24" spans="1:38">
      <c r="A24" s="5" t="s">
        <v>16</v>
      </c>
      <c r="B24" s="5" t="s">
        <v>306</v>
      </c>
      <c r="C24" s="5" t="s">
        <v>326</v>
      </c>
      <c r="D24" s="5" t="s">
        <v>615</v>
      </c>
      <c r="E24" s="5" t="s">
        <v>923</v>
      </c>
      <c r="F24" s="12">
        <v>2</v>
      </c>
      <c r="G24" s="156"/>
      <c r="H24" s="12"/>
      <c r="I24" s="12"/>
      <c r="J24" s="12">
        <f t="shared" si="0"/>
        <v>0</v>
      </c>
      <c r="K24" s="12">
        <v>0</v>
      </c>
      <c r="L24" s="12">
        <f t="shared" si="1"/>
        <v>0</v>
      </c>
      <c r="N24" s="22" t="s">
        <v>950</v>
      </c>
      <c r="O24" s="12">
        <f t="shared" si="2"/>
        <v>0</v>
      </c>
      <c r="Z24" s="12">
        <f t="shared" si="3"/>
        <v>0</v>
      </c>
      <c r="AA24" s="12">
        <f t="shared" si="4"/>
        <v>0</v>
      </c>
      <c r="AB24" s="12">
        <f t="shared" si="5"/>
        <v>0</v>
      </c>
      <c r="AD24" s="24">
        <v>21</v>
      </c>
      <c r="AE24" s="24">
        <f t="shared" si="6"/>
        <v>0</v>
      </c>
      <c r="AF24" s="24">
        <f t="shared" si="7"/>
        <v>0</v>
      </c>
    </row>
    <row r="25" spans="1:38">
      <c r="A25" s="5" t="s">
        <v>17</v>
      </c>
      <c r="B25" s="5" t="s">
        <v>306</v>
      </c>
      <c r="C25" s="5" t="s">
        <v>327</v>
      </c>
      <c r="D25" s="5" t="s">
        <v>616</v>
      </c>
      <c r="E25" s="5" t="s">
        <v>923</v>
      </c>
      <c r="F25" s="12">
        <v>2</v>
      </c>
      <c r="G25" s="156"/>
      <c r="H25" s="12"/>
      <c r="I25" s="12"/>
      <c r="J25" s="12">
        <f t="shared" si="0"/>
        <v>0</v>
      </c>
      <c r="K25" s="12">
        <v>0</v>
      </c>
      <c r="L25" s="12">
        <f t="shared" si="1"/>
        <v>0</v>
      </c>
      <c r="N25" s="22" t="s">
        <v>950</v>
      </c>
      <c r="O25" s="12">
        <f t="shared" si="2"/>
        <v>0</v>
      </c>
      <c r="Z25" s="12">
        <f t="shared" si="3"/>
        <v>0</v>
      </c>
      <c r="AA25" s="12">
        <f t="shared" si="4"/>
        <v>0</v>
      </c>
      <c r="AB25" s="12">
        <f t="shared" si="5"/>
        <v>0</v>
      </c>
      <c r="AD25" s="24">
        <v>21</v>
      </c>
      <c r="AE25" s="24">
        <f t="shared" si="6"/>
        <v>0</v>
      </c>
      <c r="AF25" s="24">
        <f t="shared" si="7"/>
        <v>0</v>
      </c>
    </row>
    <row r="26" spans="1:38">
      <c r="A26" s="5" t="s">
        <v>18</v>
      </c>
      <c r="B26" s="5" t="s">
        <v>306</v>
      </c>
      <c r="C26" s="5" t="s">
        <v>328</v>
      </c>
      <c r="D26" s="5" t="s">
        <v>617</v>
      </c>
      <c r="E26" s="5" t="s">
        <v>924</v>
      </c>
      <c r="F26" s="12">
        <v>1</v>
      </c>
      <c r="G26" s="156"/>
      <c r="H26" s="12"/>
      <c r="I26" s="12"/>
      <c r="J26" s="12">
        <f t="shared" si="0"/>
        <v>0</v>
      </c>
      <c r="K26" s="12">
        <v>0</v>
      </c>
      <c r="L26" s="12">
        <f t="shared" si="1"/>
        <v>0</v>
      </c>
      <c r="N26" s="22" t="s">
        <v>950</v>
      </c>
      <c r="O26" s="12">
        <f t="shared" si="2"/>
        <v>0</v>
      </c>
      <c r="Z26" s="12">
        <f t="shared" si="3"/>
        <v>0</v>
      </c>
      <c r="AA26" s="12">
        <f t="shared" si="4"/>
        <v>0</v>
      </c>
      <c r="AB26" s="12">
        <f t="shared" si="5"/>
        <v>0</v>
      </c>
      <c r="AD26" s="24">
        <v>21</v>
      </c>
      <c r="AE26" s="24">
        <f t="shared" si="6"/>
        <v>0</v>
      </c>
      <c r="AF26" s="24">
        <f t="shared" si="7"/>
        <v>0</v>
      </c>
      <c r="AL26" s="138"/>
    </row>
    <row r="27" spans="1:38">
      <c r="A27" s="5" t="s">
        <v>19</v>
      </c>
      <c r="B27" s="5" t="s">
        <v>306</v>
      </c>
      <c r="C27" s="5" t="s">
        <v>329</v>
      </c>
      <c r="D27" s="5" t="s">
        <v>618</v>
      </c>
      <c r="E27" s="5" t="s">
        <v>919</v>
      </c>
      <c r="F27" s="12">
        <v>1</v>
      </c>
      <c r="G27" s="156"/>
      <c r="H27" s="12"/>
      <c r="I27" s="12"/>
      <c r="J27" s="12">
        <f t="shared" si="0"/>
        <v>0</v>
      </c>
      <c r="K27" s="12">
        <v>0</v>
      </c>
      <c r="L27" s="12">
        <f t="shared" si="1"/>
        <v>0</v>
      </c>
      <c r="N27" s="22" t="s">
        <v>950</v>
      </c>
      <c r="O27" s="12">
        <f t="shared" si="2"/>
        <v>0</v>
      </c>
      <c r="Z27" s="12">
        <f t="shared" si="3"/>
        <v>0</v>
      </c>
      <c r="AA27" s="12">
        <f t="shared" si="4"/>
        <v>0</v>
      </c>
      <c r="AB27" s="12">
        <f t="shared" si="5"/>
        <v>0</v>
      </c>
      <c r="AD27" s="24">
        <v>21</v>
      </c>
      <c r="AE27" s="24">
        <f t="shared" si="6"/>
        <v>0</v>
      </c>
      <c r="AF27" s="24">
        <f t="shared" si="7"/>
        <v>0</v>
      </c>
    </row>
    <row r="28" spans="1:38">
      <c r="A28" s="5" t="s">
        <v>20</v>
      </c>
      <c r="B28" s="5" t="s">
        <v>306</v>
      </c>
      <c r="C28" s="5" t="s">
        <v>330</v>
      </c>
      <c r="D28" s="5" t="s">
        <v>619</v>
      </c>
      <c r="E28" s="5" t="s">
        <v>921</v>
      </c>
      <c r="F28" s="12">
        <v>1</v>
      </c>
      <c r="G28" s="156"/>
      <c r="H28" s="12"/>
      <c r="I28" s="12"/>
      <c r="J28" s="12">
        <f t="shared" si="0"/>
        <v>0</v>
      </c>
      <c r="K28" s="12">
        <v>9.2999999999999992E-3</v>
      </c>
      <c r="L28" s="12">
        <f t="shared" si="1"/>
        <v>9.2999999999999992E-3</v>
      </c>
      <c r="N28" s="22" t="s">
        <v>950</v>
      </c>
      <c r="O28" s="12">
        <f t="shared" si="2"/>
        <v>0</v>
      </c>
      <c r="Z28" s="12">
        <f t="shared" si="3"/>
        <v>0</v>
      </c>
      <c r="AA28" s="12">
        <f t="shared" si="4"/>
        <v>0</v>
      </c>
      <c r="AB28" s="12">
        <f t="shared" si="5"/>
        <v>0</v>
      </c>
      <c r="AD28" s="24">
        <v>21</v>
      </c>
      <c r="AE28" s="24">
        <f t="shared" si="6"/>
        <v>0</v>
      </c>
      <c r="AF28" s="24">
        <f t="shared" si="7"/>
        <v>0</v>
      </c>
    </row>
    <row r="29" spans="1:38">
      <c r="A29" s="5" t="s">
        <v>21</v>
      </c>
      <c r="B29" s="5" t="s">
        <v>306</v>
      </c>
      <c r="C29" s="5" t="s">
        <v>331</v>
      </c>
      <c r="D29" s="5" t="s">
        <v>620</v>
      </c>
      <c r="E29" s="5" t="s">
        <v>921</v>
      </c>
      <c r="F29" s="12">
        <v>1</v>
      </c>
      <c r="G29" s="156"/>
      <c r="H29" s="12"/>
      <c r="I29" s="12"/>
      <c r="J29" s="12">
        <f t="shared" si="0"/>
        <v>0</v>
      </c>
      <c r="K29" s="12">
        <v>0</v>
      </c>
      <c r="L29" s="12">
        <f t="shared" si="1"/>
        <v>0</v>
      </c>
      <c r="N29" s="22" t="s">
        <v>950</v>
      </c>
      <c r="O29" s="12">
        <f t="shared" si="2"/>
        <v>0</v>
      </c>
      <c r="Z29" s="12">
        <f t="shared" si="3"/>
        <v>0</v>
      </c>
      <c r="AA29" s="12">
        <f t="shared" si="4"/>
        <v>0</v>
      </c>
      <c r="AB29" s="12">
        <f t="shared" si="5"/>
        <v>0</v>
      </c>
      <c r="AD29" s="24">
        <v>21</v>
      </c>
      <c r="AE29" s="24">
        <f t="shared" si="6"/>
        <v>0</v>
      </c>
      <c r="AF29" s="24">
        <f t="shared" si="7"/>
        <v>0</v>
      </c>
    </row>
    <row r="30" spans="1:38">
      <c r="A30" s="6" t="s">
        <v>22</v>
      </c>
      <c r="B30" s="6" t="s">
        <v>306</v>
      </c>
      <c r="C30" s="6" t="s">
        <v>332</v>
      </c>
      <c r="D30" s="6" t="s">
        <v>621</v>
      </c>
      <c r="E30" s="6" t="s">
        <v>919</v>
      </c>
      <c r="F30" s="13">
        <v>1</v>
      </c>
      <c r="G30" s="157"/>
      <c r="H30" s="13"/>
      <c r="I30" s="13"/>
      <c r="J30" s="13">
        <f t="shared" si="0"/>
        <v>0</v>
      </c>
      <c r="K30" s="13">
        <v>0</v>
      </c>
      <c r="L30" s="13">
        <f t="shared" si="1"/>
        <v>0</v>
      </c>
      <c r="N30" s="23" t="s">
        <v>7</v>
      </c>
      <c r="O30" s="13">
        <f t="shared" si="2"/>
        <v>0</v>
      </c>
      <c r="Z30" s="13">
        <f t="shared" si="3"/>
        <v>0</v>
      </c>
      <c r="AA30" s="13">
        <f t="shared" si="4"/>
        <v>0</v>
      </c>
      <c r="AB30" s="13">
        <f t="shared" si="5"/>
        <v>0</v>
      </c>
      <c r="AD30" s="24">
        <v>21</v>
      </c>
      <c r="AE30" s="24">
        <f>G30*0</f>
        <v>0</v>
      </c>
      <c r="AF30" s="24">
        <f>G30*(1-0)</f>
        <v>0</v>
      </c>
    </row>
    <row r="31" spans="1:38">
      <c r="A31" s="6" t="s">
        <v>23</v>
      </c>
      <c r="B31" s="6" t="s">
        <v>306</v>
      </c>
      <c r="C31" s="6" t="s">
        <v>333</v>
      </c>
      <c r="D31" s="6" t="s">
        <v>622</v>
      </c>
      <c r="E31" s="6" t="s">
        <v>920</v>
      </c>
      <c r="F31" s="13">
        <v>1</v>
      </c>
      <c r="G31" s="157"/>
      <c r="H31" s="13"/>
      <c r="I31" s="13"/>
      <c r="J31" s="13">
        <f t="shared" si="0"/>
        <v>0</v>
      </c>
      <c r="K31" s="13">
        <v>2.9399999999999999E-3</v>
      </c>
      <c r="L31" s="13">
        <f t="shared" si="1"/>
        <v>2.9399999999999999E-3</v>
      </c>
      <c r="N31" s="23" t="s">
        <v>7</v>
      </c>
      <c r="O31" s="13">
        <f t="shared" si="2"/>
        <v>0</v>
      </c>
      <c r="Z31" s="13">
        <f t="shared" si="3"/>
        <v>0</v>
      </c>
      <c r="AA31" s="13">
        <f t="shared" si="4"/>
        <v>0</v>
      </c>
      <c r="AB31" s="13">
        <f t="shared" si="5"/>
        <v>0</v>
      </c>
      <c r="AD31" s="24">
        <v>21</v>
      </c>
      <c r="AE31" s="24">
        <f>G31*0.545208681135225</f>
        <v>0</v>
      </c>
      <c r="AF31" s="24">
        <f>G31*(1-0.545208681135225)</f>
        <v>0</v>
      </c>
    </row>
    <row r="32" spans="1:38">
      <c r="A32" s="6" t="s">
        <v>24</v>
      </c>
      <c r="B32" s="6" t="s">
        <v>306</v>
      </c>
      <c r="C32" s="6" t="s">
        <v>333</v>
      </c>
      <c r="D32" s="6" t="s">
        <v>623</v>
      </c>
      <c r="E32" s="6" t="s">
        <v>920</v>
      </c>
      <c r="F32" s="13">
        <v>1</v>
      </c>
      <c r="G32" s="157"/>
      <c r="H32" s="13"/>
      <c r="I32" s="13"/>
      <c r="J32" s="13">
        <f t="shared" si="0"/>
        <v>0</v>
      </c>
      <c r="K32" s="13">
        <v>2.9399999999999999E-3</v>
      </c>
      <c r="L32" s="13">
        <f t="shared" si="1"/>
        <v>2.9399999999999999E-3</v>
      </c>
      <c r="N32" s="23" t="s">
        <v>7</v>
      </c>
      <c r="O32" s="13">
        <f t="shared" si="2"/>
        <v>0</v>
      </c>
      <c r="Z32" s="13">
        <f t="shared" si="3"/>
        <v>0</v>
      </c>
      <c r="AA32" s="13">
        <f t="shared" si="4"/>
        <v>0</v>
      </c>
      <c r="AB32" s="13">
        <f t="shared" si="5"/>
        <v>0</v>
      </c>
      <c r="AD32" s="24">
        <v>21</v>
      </c>
      <c r="AE32" s="24">
        <f>G32*0.545208681135225</f>
        <v>0</v>
      </c>
      <c r="AF32" s="24">
        <f>G32*(1-0.545208681135225)</f>
        <v>0</v>
      </c>
    </row>
    <row r="33" spans="1:37">
      <c r="A33" s="6" t="s">
        <v>25</v>
      </c>
      <c r="B33" s="6" t="s">
        <v>306</v>
      </c>
      <c r="C33" s="6" t="s">
        <v>334</v>
      </c>
      <c r="D33" s="6" t="s">
        <v>624</v>
      </c>
      <c r="E33" s="6" t="s">
        <v>920</v>
      </c>
      <c r="F33" s="13">
        <v>2</v>
      </c>
      <c r="G33" s="157"/>
      <c r="H33" s="13"/>
      <c r="I33" s="13"/>
      <c r="J33" s="13">
        <f t="shared" si="0"/>
        <v>0</v>
      </c>
      <c r="K33" s="13">
        <v>5.7099999999999998E-3</v>
      </c>
      <c r="L33" s="13">
        <f t="shared" si="1"/>
        <v>1.142E-2</v>
      </c>
      <c r="N33" s="23" t="s">
        <v>7</v>
      </c>
      <c r="O33" s="13">
        <f t="shared" si="2"/>
        <v>0</v>
      </c>
      <c r="Z33" s="13">
        <f t="shared" si="3"/>
        <v>0</v>
      </c>
      <c r="AA33" s="13">
        <f t="shared" si="4"/>
        <v>0</v>
      </c>
      <c r="AB33" s="13">
        <f t="shared" si="5"/>
        <v>0</v>
      </c>
      <c r="AD33" s="24">
        <v>21</v>
      </c>
      <c r="AE33" s="24">
        <f>G33*0.584942287513116</f>
        <v>0</v>
      </c>
      <c r="AF33" s="24">
        <f>G33*(1-0.584942287513116)</f>
        <v>0</v>
      </c>
    </row>
    <row r="34" spans="1:37">
      <c r="A34" s="6" t="s">
        <v>26</v>
      </c>
      <c r="B34" s="6" t="s">
        <v>306</v>
      </c>
      <c r="C34" s="6" t="s">
        <v>335</v>
      </c>
      <c r="D34" s="6" t="s">
        <v>625</v>
      </c>
      <c r="E34" s="6" t="s">
        <v>920</v>
      </c>
      <c r="F34" s="13">
        <v>1</v>
      </c>
      <c r="G34" s="157"/>
      <c r="H34" s="13"/>
      <c r="I34" s="13"/>
      <c r="J34" s="13">
        <f t="shared" si="0"/>
        <v>0</v>
      </c>
      <c r="K34" s="13">
        <v>2.5200000000000001E-3</v>
      </c>
      <c r="L34" s="13">
        <f t="shared" si="1"/>
        <v>2.5200000000000001E-3</v>
      </c>
      <c r="N34" s="23" t="s">
        <v>7</v>
      </c>
      <c r="O34" s="13">
        <f t="shared" si="2"/>
        <v>0</v>
      </c>
      <c r="Z34" s="13">
        <f t="shared" si="3"/>
        <v>0</v>
      </c>
      <c r="AA34" s="13">
        <f t="shared" si="4"/>
        <v>0</v>
      </c>
      <c r="AB34" s="13">
        <f t="shared" si="5"/>
        <v>0</v>
      </c>
      <c r="AD34" s="24">
        <v>21</v>
      </c>
      <c r="AE34" s="24">
        <f>G34*0.53360396039604</f>
        <v>0</v>
      </c>
      <c r="AF34" s="24">
        <f>G34*(1-0.53360396039604)</f>
        <v>0</v>
      </c>
    </row>
    <row r="35" spans="1:37">
      <c r="A35" s="6" t="s">
        <v>27</v>
      </c>
      <c r="B35" s="6" t="s">
        <v>306</v>
      </c>
      <c r="C35" s="6" t="s">
        <v>336</v>
      </c>
      <c r="D35" s="6" t="s">
        <v>626</v>
      </c>
      <c r="E35" s="6" t="s">
        <v>920</v>
      </c>
      <c r="F35" s="13">
        <v>2</v>
      </c>
      <c r="G35" s="157"/>
      <c r="H35" s="13"/>
      <c r="I35" s="13"/>
      <c r="J35" s="13">
        <f t="shared" si="0"/>
        <v>0</v>
      </c>
      <c r="K35" s="13">
        <v>5.9300000000000004E-3</v>
      </c>
      <c r="L35" s="13">
        <f t="shared" si="1"/>
        <v>1.1860000000000001E-2</v>
      </c>
      <c r="N35" s="23" t="s">
        <v>7</v>
      </c>
      <c r="O35" s="13">
        <f t="shared" si="2"/>
        <v>0</v>
      </c>
      <c r="Z35" s="13">
        <f t="shared" si="3"/>
        <v>0</v>
      </c>
      <c r="AA35" s="13">
        <f t="shared" si="4"/>
        <v>0</v>
      </c>
      <c r="AB35" s="13">
        <f t="shared" si="5"/>
        <v>0</v>
      </c>
      <c r="AD35" s="24">
        <v>21</v>
      </c>
      <c r="AE35" s="24">
        <f>G35*0.551238636363636</f>
        <v>0</v>
      </c>
      <c r="AF35" s="24">
        <f>G35*(1-0.551238636363636)</f>
        <v>0</v>
      </c>
    </row>
    <row r="36" spans="1:37">
      <c r="A36" s="6" t="s">
        <v>28</v>
      </c>
      <c r="B36" s="6" t="s">
        <v>306</v>
      </c>
      <c r="C36" s="6" t="s">
        <v>337</v>
      </c>
      <c r="D36" s="6" t="s">
        <v>627</v>
      </c>
      <c r="E36" s="6" t="s">
        <v>920</v>
      </c>
      <c r="F36" s="13">
        <v>2</v>
      </c>
      <c r="G36" s="157"/>
      <c r="H36" s="13"/>
      <c r="I36" s="13"/>
      <c r="J36" s="13">
        <f t="shared" si="0"/>
        <v>0</v>
      </c>
      <c r="K36" s="13">
        <v>7.4099999999999999E-3</v>
      </c>
      <c r="L36" s="13">
        <f t="shared" si="1"/>
        <v>1.482E-2</v>
      </c>
      <c r="N36" s="23" t="s">
        <v>7</v>
      </c>
      <c r="O36" s="13">
        <f t="shared" si="2"/>
        <v>0</v>
      </c>
      <c r="Z36" s="13">
        <f t="shared" si="3"/>
        <v>0</v>
      </c>
      <c r="AA36" s="13">
        <f t="shared" si="4"/>
        <v>0</v>
      </c>
      <c r="AB36" s="13">
        <f t="shared" si="5"/>
        <v>0</v>
      </c>
      <c r="AD36" s="24">
        <v>21</v>
      </c>
      <c r="AE36" s="24">
        <f>G36*0.550054252729743</f>
        <v>0</v>
      </c>
      <c r="AF36" s="24">
        <f>G36*(1-0.550054252729743)</f>
        <v>0</v>
      </c>
    </row>
    <row r="37" spans="1:37">
      <c r="A37" s="6" t="s">
        <v>29</v>
      </c>
      <c r="B37" s="6" t="s">
        <v>306</v>
      </c>
      <c r="C37" s="6" t="s">
        <v>338</v>
      </c>
      <c r="D37" s="6" t="s">
        <v>628</v>
      </c>
      <c r="E37" s="6" t="s">
        <v>921</v>
      </c>
      <c r="F37" s="13">
        <v>1</v>
      </c>
      <c r="G37" s="157"/>
      <c r="H37" s="13"/>
      <c r="I37" s="13"/>
      <c r="J37" s="13">
        <f t="shared" si="0"/>
        <v>0</v>
      </c>
      <c r="K37" s="13">
        <v>4.0000000000000003E-5</v>
      </c>
      <c r="L37" s="13">
        <f t="shared" si="1"/>
        <v>4.0000000000000003E-5</v>
      </c>
      <c r="N37" s="23" t="s">
        <v>7</v>
      </c>
      <c r="O37" s="13">
        <f t="shared" si="2"/>
        <v>0</v>
      </c>
      <c r="Z37" s="13">
        <f t="shared" si="3"/>
        <v>0</v>
      </c>
      <c r="AA37" s="13">
        <f t="shared" si="4"/>
        <v>0</v>
      </c>
      <c r="AB37" s="13">
        <f t="shared" si="5"/>
        <v>0</v>
      </c>
      <c r="AD37" s="24">
        <v>21</v>
      </c>
      <c r="AE37" s="24">
        <f>G37*0.124983606557377</f>
        <v>0</v>
      </c>
      <c r="AF37" s="24">
        <f>G37*(1-0.124983606557377)</f>
        <v>0</v>
      </c>
    </row>
    <row r="38" spans="1:37">
      <c r="A38" s="6" t="s">
        <v>30</v>
      </c>
      <c r="B38" s="6" t="s">
        <v>306</v>
      </c>
      <c r="C38" s="6" t="s">
        <v>339</v>
      </c>
      <c r="D38" s="6" t="s">
        <v>629</v>
      </c>
      <c r="E38" s="6" t="s">
        <v>921</v>
      </c>
      <c r="F38" s="13">
        <v>1</v>
      </c>
      <c r="G38" s="157"/>
      <c r="H38" s="13"/>
      <c r="I38" s="13"/>
      <c r="J38" s="13">
        <f t="shared" si="0"/>
        <v>0</v>
      </c>
      <c r="K38" s="13">
        <v>7.5000000000000002E-4</v>
      </c>
      <c r="L38" s="13">
        <f t="shared" si="1"/>
        <v>7.5000000000000002E-4</v>
      </c>
      <c r="N38" s="23" t="s">
        <v>7</v>
      </c>
      <c r="O38" s="13">
        <f t="shared" si="2"/>
        <v>0</v>
      </c>
      <c r="Z38" s="13">
        <f t="shared" si="3"/>
        <v>0</v>
      </c>
      <c r="AA38" s="13">
        <f t="shared" si="4"/>
        <v>0</v>
      </c>
      <c r="AB38" s="13">
        <f t="shared" si="5"/>
        <v>0</v>
      </c>
      <c r="AD38" s="24">
        <v>21</v>
      </c>
      <c r="AE38" s="24">
        <f>G38*0.731100687247736</f>
        <v>0</v>
      </c>
      <c r="AF38" s="24">
        <f>G38*(1-0.731100687247736)</f>
        <v>0</v>
      </c>
    </row>
    <row r="39" spans="1:37">
      <c r="A39" s="6" t="s">
        <v>31</v>
      </c>
      <c r="B39" s="6" t="s">
        <v>306</v>
      </c>
      <c r="C39" s="6" t="s">
        <v>340</v>
      </c>
      <c r="D39" s="6" t="s">
        <v>630</v>
      </c>
      <c r="E39" s="6" t="s">
        <v>920</v>
      </c>
      <c r="F39" s="13">
        <v>2</v>
      </c>
      <c r="G39" s="157"/>
      <c r="H39" s="13"/>
      <c r="I39" s="13"/>
      <c r="J39" s="13">
        <f t="shared" si="0"/>
        <v>0</v>
      </c>
      <c r="K39" s="13">
        <v>9.3999999999999997E-4</v>
      </c>
      <c r="L39" s="13">
        <f t="shared" si="1"/>
        <v>1.8799999999999999E-3</v>
      </c>
      <c r="N39" s="23" t="s">
        <v>7</v>
      </c>
      <c r="O39" s="13">
        <f t="shared" si="2"/>
        <v>0</v>
      </c>
      <c r="Z39" s="13">
        <f t="shared" si="3"/>
        <v>0</v>
      </c>
      <c r="AA39" s="13">
        <f t="shared" si="4"/>
        <v>0</v>
      </c>
      <c r="AB39" s="13">
        <f t="shared" si="5"/>
        <v>0</v>
      </c>
      <c r="AD39" s="24">
        <v>21</v>
      </c>
      <c r="AE39" s="24">
        <f>G39*0.767356265356265</f>
        <v>0</v>
      </c>
      <c r="AF39" s="24">
        <f>G39*(1-0.767356265356265)</f>
        <v>0</v>
      </c>
    </row>
    <row r="40" spans="1:37">
      <c r="A40" s="6" t="s">
        <v>32</v>
      </c>
      <c r="B40" s="6" t="s">
        <v>306</v>
      </c>
      <c r="C40" s="6" t="s">
        <v>341</v>
      </c>
      <c r="D40" s="6" t="s">
        <v>631</v>
      </c>
      <c r="E40" s="6" t="s">
        <v>919</v>
      </c>
      <c r="F40" s="13">
        <v>1</v>
      </c>
      <c r="G40" s="157"/>
      <c r="H40" s="13"/>
      <c r="I40" s="13"/>
      <c r="J40" s="13">
        <f t="shared" si="0"/>
        <v>0</v>
      </c>
      <c r="K40" s="13">
        <v>0</v>
      </c>
      <c r="L40" s="13">
        <f t="shared" si="1"/>
        <v>0</v>
      </c>
      <c r="N40" s="23" t="s">
        <v>11</v>
      </c>
      <c r="O40" s="13">
        <f t="shared" si="2"/>
        <v>0</v>
      </c>
      <c r="Z40" s="13">
        <f t="shared" si="3"/>
        <v>0</v>
      </c>
      <c r="AA40" s="13">
        <f t="shared" si="4"/>
        <v>0</v>
      </c>
      <c r="AB40" s="13">
        <f t="shared" si="5"/>
        <v>0</v>
      </c>
      <c r="AD40" s="24">
        <v>21</v>
      </c>
      <c r="AE40" s="24">
        <f>G40*0</f>
        <v>0</v>
      </c>
      <c r="AF40" s="24">
        <f>G40*(1-0)</f>
        <v>0</v>
      </c>
    </row>
    <row r="41" spans="1:37">
      <c r="A41" s="4"/>
      <c r="B41" s="4"/>
      <c r="C41" s="114"/>
      <c r="D41" s="135" t="s">
        <v>632</v>
      </c>
      <c r="E41" s="136"/>
      <c r="F41" s="136"/>
      <c r="G41" s="155"/>
      <c r="H41" s="26"/>
      <c r="I41" s="26"/>
      <c r="J41" s="26"/>
      <c r="K41" s="19"/>
      <c r="L41" s="26">
        <f>L42+L51</f>
        <v>9.3870000000000009E-2</v>
      </c>
    </row>
    <row r="42" spans="1:37">
      <c r="A42" s="4"/>
      <c r="B42" s="4"/>
      <c r="C42" s="114" t="s">
        <v>315</v>
      </c>
      <c r="D42" s="135" t="s">
        <v>604</v>
      </c>
      <c r="E42" s="136"/>
      <c r="F42" s="136"/>
      <c r="G42" s="155"/>
      <c r="H42" s="26"/>
      <c r="I42" s="26"/>
      <c r="J42" s="26"/>
      <c r="K42" s="19"/>
      <c r="L42" s="26">
        <f>SUM(L43:L50)</f>
        <v>8.0999999999999996E-4</v>
      </c>
      <c r="P42" s="26">
        <f>IF(Q42="PR",J42,SUM(O43:O50))</f>
        <v>0</v>
      </c>
      <c r="Q42" s="19" t="s">
        <v>953</v>
      </c>
      <c r="R42" s="26">
        <f>IF(Q42="HS",H42,0)</f>
        <v>0</v>
      </c>
      <c r="S42" s="26">
        <f>IF(Q42="HS",I42-P42,0)</f>
        <v>0</v>
      </c>
      <c r="T42" s="26">
        <f>IF(Q42="PS",H42,0)</f>
        <v>0</v>
      </c>
      <c r="U42" s="26">
        <f>IF(Q42="PS",I42-P42,0)</f>
        <v>0</v>
      </c>
      <c r="V42" s="26">
        <f>IF(Q42="MP",H42,0)</f>
        <v>0</v>
      </c>
      <c r="W42" s="26">
        <f>IF(Q42="MP",I42-P42,0)</f>
        <v>0</v>
      </c>
      <c r="X42" s="26">
        <f>IF(Q42="OM",H42,0)</f>
        <v>0</v>
      </c>
      <c r="Y42" s="19" t="s">
        <v>307</v>
      </c>
      <c r="AI42" s="26">
        <f>SUM(Z43:Z50)</f>
        <v>0</v>
      </c>
      <c r="AJ42" s="26">
        <f>SUM(AA43:AA50)</f>
        <v>0</v>
      </c>
      <c r="AK42" s="26">
        <f>SUM(AB43:AB50)</f>
        <v>0</v>
      </c>
    </row>
    <row r="43" spans="1:37">
      <c r="A43" s="5" t="s">
        <v>33</v>
      </c>
      <c r="B43" s="5" t="s">
        <v>307</v>
      </c>
      <c r="C43" s="5" t="s">
        <v>342</v>
      </c>
      <c r="D43" s="5" t="s">
        <v>633</v>
      </c>
      <c r="E43" s="5" t="s">
        <v>921</v>
      </c>
      <c r="F43" s="12">
        <v>1</v>
      </c>
      <c r="G43" s="156"/>
      <c r="H43" s="12"/>
      <c r="I43" s="12"/>
      <c r="J43" s="12">
        <f t="shared" ref="J43:J50" si="8">ROUND(F43*G43,2)</f>
        <v>0</v>
      </c>
      <c r="K43" s="12">
        <v>0</v>
      </c>
      <c r="L43" s="12">
        <f t="shared" ref="L43:L50" si="9">F43*K43</f>
        <v>0</v>
      </c>
      <c r="N43" s="22" t="s">
        <v>950</v>
      </c>
      <c r="O43" s="12">
        <f t="shared" ref="O43:O50" si="10">IF(N43="5",I43,0)</f>
        <v>0</v>
      </c>
      <c r="Z43" s="12">
        <f t="shared" ref="Z43:Z50" si="11">IF(AD43=0,J43,0)</f>
        <v>0</v>
      </c>
      <c r="AA43" s="12">
        <f t="shared" ref="AA43:AA50" si="12">IF(AD43=15,J43,0)</f>
        <v>0</v>
      </c>
      <c r="AB43" s="12">
        <f t="shared" ref="AB43:AB50" si="13">IF(AD43=21,J43,0)</f>
        <v>0</v>
      </c>
      <c r="AD43" s="24">
        <v>21</v>
      </c>
      <c r="AE43" s="24">
        <f>G43*1</f>
        <v>0</v>
      </c>
      <c r="AF43" s="24">
        <f>G43*(1-1)</f>
        <v>0</v>
      </c>
    </row>
    <row r="44" spans="1:37">
      <c r="A44" s="5" t="s">
        <v>34</v>
      </c>
      <c r="B44" s="5" t="s">
        <v>307</v>
      </c>
      <c r="C44" s="5" t="s">
        <v>343</v>
      </c>
      <c r="D44" s="5" t="s">
        <v>634</v>
      </c>
      <c r="E44" s="5" t="s">
        <v>919</v>
      </c>
      <c r="F44" s="12">
        <v>1</v>
      </c>
      <c r="G44" s="156"/>
      <c r="H44" s="12"/>
      <c r="I44" s="12"/>
      <c r="J44" s="12">
        <f t="shared" si="8"/>
        <v>0</v>
      </c>
      <c r="K44" s="12">
        <v>0</v>
      </c>
      <c r="L44" s="12">
        <f t="shared" si="9"/>
        <v>0</v>
      </c>
      <c r="N44" s="22" t="s">
        <v>950</v>
      </c>
      <c r="O44" s="12">
        <f t="shared" si="10"/>
        <v>0</v>
      </c>
      <c r="Z44" s="12">
        <f t="shared" si="11"/>
        <v>0</v>
      </c>
      <c r="AA44" s="12">
        <f t="shared" si="12"/>
        <v>0</v>
      </c>
      <c r="AB44" s="12">
        <f t="shared" si="13"/>
        <v>0</v>
      </c>
      <c r="AD44" s="24">
        <v>21</v>
      </c>
      <c r="AE44" s="24">
        <f>G44*1</f>
        <v>0</v>
      </c>
      <c r="AF44" s="24">
        <f>G44*(1-1)</f>
        <v>0</v>
      </c>
    </row>
    <row r="45" spans="1:37">
      <c r="A45" s="5" t="s">
        <v>35</v>
      </c>
      <c r="B45" s="5" t="s">
        <v>307</v>
      </c>
      <c r="C45" s="5" t="s">
        <v>344</v>
      </c>
      <c r="D45" s="5" t="s">
        <v>635</v>
      </c>
      <c r="E45" s="5" t="s">
        <v>919</v>
      </c>
      <c r="F45" s="12">
        <v>1</v>
      </c>
      <c r="G45" s="156"/>
      <c r="H45" s="12"/>
      <c r="I45" s="12"/>
      <c r="J45" s="12">
        <f t="shared" si="8"/>
        <v>0</v>
      </c>
      <c r="K45" s="12">
        <v>0</v>
      </c>
      <c r="L45" s="12">
        <f t="shared" si="9"/>
        <v>0</v>
      </c>
      <c r="N45" s="22" t="s">
        <v>950</v>
      </c>
      <c r="O45" s="12">
        <f t="shared" si="10"/>
        <v>0</v>
      </c>
      <c r="Z45" s="12">
        <f t="shared" si="11"/>
        <v>0</v>
      </c>
      <c r="AA45" s="12">
        <f t="shared" si="12"/>
        <v>0</v>
      </c>
      <c r="AB45" s="12">
        <f t="shared" si="13"/>
        <v>0</v>
      </c>
      <c r="AD45" s="24">
        <v>21</v>
      </c>
      <c r="AE45" s="24">
        <f>G45*1</f>
        <v>0</v>
      </c>
      <c r="AF45" s="24">
        <f>G45*(1-1)</f>
        <v>0</v>
      </c>
    </row>
    <row r="46" spans="1:37">
      <c r="A46" s="6" t="s">
        <v>36</v>
      </c>
      <c r="B46" s="6" t="s">
        <v>307</v>
      </c>
      <c r="C46" s="6" t="s">
        <v>345</v>
      </c>
      <c r="D46" s="6" t="s">
        <v>636</v>
      </c>
      <c r="E46" s="6" t="s">
        <v>919</v>
      </c>
      <c r="F46" s="13">
        <v>1</v>
      </c>
      <c r="G46" s="157"/>
      <c r="H46" s="13"/>
      <c r="I46" s="13"/>
      <c r="J46" s="13">
        <f t="shared" si="8"/>
        <v>0</v>
      </c>
      <c r="K46" s="13">
        <v>0</v>
      </c>
      <c r="L46" s="13">
        <f t="shared" si="9"/>
        <v>0</v>
      </c>
      <c r="N46" s="23" t="s">
        <v>7</v>
      </c>
      <c r="O46" s="13">
        <f t="shared" si="10"/>
        <v>0</v>
      </c>
      <c r="Z46" s="13">
        <f t="shared" si="11"/>
        <v>0</v>
      </c>
      <c r="AA46" s="13">
        <f t="shared" si="12"/>
        <v>0</v>
      </c>
      <c r="AB46" s="13">
        <f t="shared" si="13"/>
        <v>0</v>
      </c>
      <c r="AD46" s="24">
        <v>21</v>
      </c>
      <c r="AE46" s="24">
        <f>G46*0</f>
        <v>0</v>
      </c>
      <c r="AF46" s="24">
        <f>G46*(1-0)</f>
        <v>0</v>
      </c>
    </row>
    <row r="47" spans="1:37">
      <c r="A47" s="6" t="s">
        <v>37</v>
      </c>
      <c r="B47" s="6" t="s">
        <v>307</v>
      </c>
      <c r="C47" s="6" t="s">
        <v>346</v>
      </c>
      <c r="D47" s="6" t="s">
        <v>637</v>
      </c>
      <c r="E47" s="6" t="s">
        <v>919</v>
      </c>
      <c r="F47" s="13">
        <v>1</v>
      </c>
      <c r="G47" s="157"/>
      <c r="H47" s="13"/>
      <c r="I47" s="13"/>
      <c r="J47" s="13">
        <f t="shared" si="8"/>
        <v>0</v>
      </c>
      <c r="K47" s="13">
        <v>0</v>
      </c>
      <c r="L47" s="13">
        <f t="shared" si="9"/>
        <v>0</v>
      </c>
      <c r="N47" s="23" t="s">
        <v>7</v>
      </c>
      <c r="O47" s="13">
        <f t="shared" si="10"/>
        <v>0</v>
      </c>
      <c r="Z47" s="13">
        <f t="shared" si="11"/>
        <v>0</v>
      </c>
      <c r="AA47" s="13">
        <f t="shared" si="12"/>
        <v>0</v>
      </c>
      <c r="AB47" s="13">
        <f t="shared" si="13"/>
        <v>0</v>
      </c>
      <c r="AD47" s="24">
        <v>21</v>
      </c>
      <c r="AE47" s="24">
        <f>G47*0</f>
        <v>0</v>
      </c>
      <c r="AF47" s="24">
        <f>G47*(1-0)</f>
        <v>0</v>
      </c>
    </row>
    <row r="48" spans="1:37">
      <c r="A48" s="6" t="s">
        <v>38</v>
      </c>
      <c r="B48" s="6" t="s">
        <v>307</v>
      </c>
      <c r="C48" s="6" t="s">
        <v>347</v>
      </c>
      <c r="D48" s="6" t="s">
        <v>638</v>
      </c>
      <c r="E48" s="6" t="s">
        <v>925</v>
      </c>
      <c r="F48" s="13">
        <v>1</v>
      </c>
      <c r="G48" s="157"/>
      <c r="H48" s="13"/>
      <c r="I48" s="13"/>
      <c r="J48" s="13">
        <f t="shared" si="8"/>
        <v>0</v>
      </c>
      <c r="K48" s="13">
        <v>0</v>
      </c>
      <c r="L48" s="13">
        <f t="shared" si="9"/>
        <v>0</v>
      </c>
      <c r="N48" s="23" t="s">
        <v>7</v>
      </c>
      <c r="O48" s="13">
        <f t="shared" si="10"/>
        <v>0</v>
      </c>
      <c r="Z48" s="13">
        <f t="shared" si="11"/>
        <v>0</v>
      </c>
      <c r="AA48" s="13">
        <f t="shared" si="12"/>
        <v>0</v>
      </c>
      <c r="AB48" s="13">
        <f t="shared" si="13"/>
        <v>0</v>
      </c>
      <c r="AD48" s="24">
        <v>21</v>
      </c>
      <c r="AE48" s="24">
        <f>G48*0</f>
        <v>0</v>
      </c>
      <c r="AF48" s="24">
        <f>G48*(1-0)</f>
        <v>0</v>
      </c>
    </row>
    <row r="49" spans="1:37">
      <c r="A49" s="6" t="s">
        <v>39</v>
      </c>
      <c r="B49" s="6" t="s">
        <v>307</v>
      </c>
      <c r="C49" s="6" t="s">
        <v>348</v>
      </c>
      <c r="D49" s="6" t="s">
        <v>639</v>
      </c>
      <c r="E49" s="6" t="s">
        <v>920</v>
      </c>
      <c r="F49" s="13">
        <v>1</v>
      </c>
      <c r="G49" s="157"/>
      <c r="H49" s="13"/>
      <c r="I49" s="13"/>
      <c r="J49" s="13">
        <f t="shared" si="8"/>
        <v>0</v>
      </c>
      <c r="K49" s="13">
        <v>8.0999999999999996E-4</v>
      </c>
      <c r="L49" s="13">
        <f t="shared" si="9"/>
        <v>8.0999999999999996E-4</v>
      </c>
      <c r="N49" s="23" t="s">
        <v>7</v>
      </c>
      <c r="O49" s="13">
        <f t="shared" si="10"/>
        <v>0</v>
      </c>
      <c r="Z49" s="13">
        <f t="shared" si="11"/>
        <v>0</v>
      </c>
      <c r="AA49" s="13">
        <f t="shared" si="12"/>
        <v>0</v>
      </c>
      <c r="AB49" s="13">
        <f t="shared" si="13"/>
        <v>0</v>
      </c>
      <c r="AD49" s="24">
        <v>21</v>
      </c>
      <c r="AE49" s="24">
        <f>G49*0.612831632653061</f>
        <v>0</v>
      </c>
      <c r="AF49" s="24">
        <f>G49*(1-0.612831632653061)</f>
        <v>0</v>
      </c>
    </row>
    <row r="50" spans="1:37">
      <c r="A50" s="6" t="s">
        <v>40</v>
      </c>
      <c r="B50" s="6" t="s">
        <v>307</v>
      </c>
      <c r="C50" s="6" t="s">
        <v>320</v>
      </c>
      <c r="D50" s="6" t="s">
        <v>609</v>
      </c>
      <c r="E50" s="6" t="s">
        <v>919</v>
      </c>
      <c r="F50" s="13">
        <v>1</v>
      </c>
      <c r="G50" s="157"/>
      <c r="H50" s="13"/>
      <c r="I50" s="13"/>
      <c r="J50" s="13">
        <f t="shared" si="8"/>
        <v>0</v>
      </c>
      <c r="K50" s="13">
        <v>0</v>
      </c>
      <c r="L50" s="13">
        <f t="shared" si="9"/>
        <v>0</v>
      </c>
      <c r="N50" s="23" t="s">
        <v>11</v>
      </c>
      <c r="O50" s="13">
        <f t="shared" si="10"/>
        <v>0</v>
      </c>
      <c r="Z50" s="13">
        <f t="shared" si="11"/>
        <v>0</v>
      </c>
      <c r="AA50" s="13">
        <f t="shared" si="12"/>
        <v>0</v>
      </c>
      <c r="AB50" s="13">
        <f t="shared" si="13"/>
        <v>0</v>
      </c>
      <c r="AD50" s="24">
        <v>21</v>
      </c>
      <c r="AE50" s="24">
        <f>G50*0</f>
        <v>0</v>
      </c>
      <c r="AF50" s="24">
        <f>G50*(1-0)</f>
        <v>0</v>
      </c>
    </row>
    <row r="51" spans="1:37">
      <c r="A51" s="4"/>
      <c r="B51" s="4"/>
      <c r="C51" s="114" t="s">
        <v>321</v>
      </c>
      <c r="D51" s="135" t="s">
        <v>610</v>
      </c>
      <c r="E51" s="136"/>
      <c r="F51" s="136"/>
      <c r="G51" s="155"/>
      <c r="H51" s="26"/>
      <c r="I51" s="26"/>
      <c r="J51" s="26"/>
      <c r="K51" s="19"/>
      <c r="L51" s="26">
        <f>SUM(L52:L73)</f>
        <v>9.3060000000000004E-2</v>
      </c>
      <c r="P51" s="26">
        <f>IF(Q51="PR",J51,SUM(O52:O73))</f>
        <v>0</v>
      </c>
      <c r="Q51" s="19" t="s">
        <v>953</v>
      </c>
      <c r="R51" s="26">
        <f>IF(Q51="HS",H51,0)</f>
        <v>0</v>
      </c>
      <c r="S51" s="26">
        <f>IF(Q51="HS",I51-P51,0)</f>
        <v>0</v>
      </c>
      <c r="T51" s="26">
        <f>IF(Q51="PS",H51,0)</f>
        <v>0</v>
      </c>
      <c r="U51" s="26">
        <f>IF(Q51="PS",I51-P51,0)</f>
        <v>0</v>
      </c>
      <c r="V51" s="26">
        <f>IF(Q51="MP",H51,0)</f>
        <v>0</v>
      </c>
      <c r="W51" s="26">
        <f>IF(Q51="MP",I51-P51,0)</f>
        <v>0</v>
      </c>
      <c r="X51" s="26">
        <f>IF(Q51="OM",H51,0)</f>
        <v>0</v>
      </c>
      <c r="Y51" s="19" t="s">
        <v>307</v>
      </c>
      <c r="AI51" s="26">
        <f>SUM(Z52:Z73)</f>
        <v>0</v>
      </c>
      <c r="AJ51" s="26">
        <f>SUM(AA52:AA73)</f>
        <v>0</v>
      </c>
      <c r="AK51" s="26">
        <f>SUM(AB52:AB73)</f>
        <v>0</v>
      </c>
    </row>
    <row r="52" spans="1:37">
      <c r="A52" s="5" t="s">
        <v>41</v>
      </c>
      <c r="B52" s="5" t="s">
        <v>307</v>
      </c>
      <c r="C52" s="5" t="s">
        <v>349</v>
      </c>
      <c r="D52" s="5" t="s">
        <v>640</v>
      </c>
      <c r="E52" s="5" t="s">
        <v>924</v>
      </c>
      <c r="F52" s="12">
        <v>1</v>
      </c>
      <c r="G52" s="156"/>
      <c r="H52" s="12"/>
      <c r="I52" s="12"/>
      <c r="J52" s="12">
        <f t="shared" ref="J52:J73" si="14">ROUND(F52*G52,2)</f>
        <v>0</v>
      </c>
      <c r="K52" s="12">
        <v>0</v>
      </c>
      <c r="L52" s="12">
        <f t="shared" ref="L52:L73" si="15">F52*K52</f>
        <v>0</v>
      </c>
      <c r="N52" s="22" t="s">
        <v>950</v>
      </c>
      <c r="O52" s="12">
        <f t="shared" ref="O52:O73" si="16">IF(N52="5",I52,0)</f>
        <v>0</v>
      </c>
      <c r="Z52" s="12">
        <f t="shared" ref="Z52:Z73" si="17">IF(AD52=0,J52,0)</f>
        <v>0</v>
      </c>
      <c r="AA52" s="12">
        <f t="shared" ref="AA52:AA73" si="18">IF(AD52=15,J52,0)</f>
        <v>0</v>
      </c>
      <c r="AB52" s="12">
        <f t="shared" ref="AB52:AB73" si="19">IF(AD52=21,J52,0)</f>
        <v>0</v>
      </c>
      <c r="AD52" s="24">
        <v>21</v>
      </c>
      <c r="AE52" s="24">
        <f>G52*1</f>
        <v>0</v>
      </c>
      <c r="AF52" s="24">
        <f>G52*(1-1)</f>
        <v>0</v>
      </c>
    </row>
    <row r="53" spans="1:37">
      <c r="A53" s="5" t="s">
        <v>42</v>
      </c>
      <c r="B53" s="5" t="s">
        <v>307</v>
      </c>
      <c r="C53" s="5" t="s">
        <v>350</v>
      </c>
      <c r="D53" s="5" t="s">
        <v>641</v>
      </c>
      <c r="E53" s="5" t="s">
        <v>923</v>
      </c>
      <c r="F53" s="12">
        <v>1</v>
      </c>
      <c r="G53" s="156"/>
      <c r="H53" s="12"/>
      <c r="I53" s="12"/>
      <c r="J53" s="12">
        <f t="shared" si="14"/>
        <v>0</v>
      </c>
      <c r="K53" s="12">
        <v>0</v>
      </c>
      <c r="L53" s="12">
        <f t="shared" si="15"/>
        <v>0</v>
      </c>
      <c r="N53" s="22" t="s">
        <v>950</v>
      </c>
      <c r="O53" s="12">
        <f t="shared" si="16"/>
        <v>0</v>
      </c>
      <c r="Z53" s="12">
        <f t="shared" si="17"/>
        <v>0</v>
      </c>
      <c r="AA53" s="12">
        <f t="shared" si="18"/>
        <v>0</v>
      </c>
      <c r="AB53" s="12">
        <f t="shared" si="19"/>
        <v>0</v>
      </c>
      <c r="AD53" s="24">
        <v>21</v>
      </c>
      <c r="AE53" s="24">
        <f>G53*1</f>
        <v>0</v>
      </c>
      <c r="AF53" s="24">
        <f>G53*(1-1)</f>
        <v>0</v>
      </c>
    </row>
    <row r="54" spans="1:37">
      <c r="A54" s="5" t="s">
        <v>43</v>
      </c>
      <c r="B54" s="5" t="s">
        <v>307</v>
      </c>
      <c r="C54" s="5" t="s">
        <v>328</v>
      </c>
      <c r="D54" s="5" t="s">
        <v>617</v>
      </c>
      <c r="E54" s="5" t="s">
        <v>924</v>
      </c>
      <c r="F54" s="12">
        <v>2</v>
      </c>
      <c r="G54" s="156"/>
      <c r="H54" s="12"/>
      <c r="I54" s="12"/>
      <c r="J54" s="12">
        <f t="shared" si="14"/>
        <v>0</v>
      </c>
      <c r="K54" s="12">
        <v>0</v>
      </c>
      <c r="L54" s="12">
        <f t="shared" si="15"/>
        <v>0</v>
      </c>
      <c r="N54" s="22" t="s">
        <v>950</v>
      </c>
      <c r="O54" s="12">
        <f t="shared" si="16"/>
        <v>0</v>
      </c>
      <c r="Z54" s="12">
        <f t="shared" si="17"/>
        <v>0</v>
      </c>
      <c r="AA54" s="12">
        <f t="shared" si="18"/>
        <v>0</v>
      </c>
      <c r="AB54" s="12">
        <f t="shared" si="19"/>
        <v>0</v>
      </c>
      <c r="AD54" s="24">
        <v>21</v>
      </c>
      <c r="AE54" s="24">
        <f>G54*1</f>
        <v>0</v>
      </c>
      <c r="AF54" s="24">
        <f>G54*(1-1)</f>
        <v>0</v>
      </c>
    </row>
    <row r="55" spans="1:37">
      <c r="A55" s="6" t="s">
        <v>44</v>
      </c>
      <c r="B55" s="6" t="s">
        <v>307</v>
      </c>
      <c r="C55" s="6" t="s">
        <v>351</v>
      </c>
      <c r="D55" s="6" t="s">
        <v>642</v>
      </c>
      <c r="E55" s="6" t="s">
        <v>920</v>
      </c>
      <c r="F55" s="13">
        <v>2</v>
      </c>
      <c r="G55" s="157"/>
      <c r="H55" s="13"/>
      <c r="I55" s="13"/>
      <c r="J55" s="13">
        <f t="shared" si="14"/>
        <v>0</v>
      </c>
      <c r="K55" s="13">
        <v>6.8300000000000001E-3</v>
      </c>
      <c r="L55" s="13">
        <f t="shared" si="15"/>
        <v>1.366E-2</v>
      </c>
      <c r="N55" s="23" t="s">
        <v>7</v>
      </c>
      <c r="O55" s="13">
        <f t="shared" si="16"/>
        <v>0</v>
      </c>
      <c r="Z55" s="13">
        <f t="shared" si="17"/>
        <v>0</v>
      </c>
      <c r="AA55" s="13">
        <f t="shared" si="18"/>
        <v>0</v>
      </c>
      <c r="AB55" s="13">
        <f t="shared" si="19"/>
        <v>0</v>
      </c>
      <c r="AD55" s="24">
        <v>21</v>
      </c>
      <c r="AE55" s="24">
        <f>G55*0.580977375565611</f>
        <v>0</v>
      </c>
      <c r="AF55" s="24">
        <f>G55*(1-0.580977375565611)</f>
        <v>0</v>
      </c>
    </row>
    <row r="56" spans="1:37">
      <c r="A56" s="5" t="s">
        <v>45</v>
      </c>
      <c r="B56" s="5" t="s">
        <v>307</v>
      </c>
      <c r="C56" s="5" t="s">
        <v>351</v>
      </c>
      <c r="D56" s="5" t="s">
        <v>643</v>
      </c>
      <c r="E56" s="5" t="s">
        <v>924</v>
      </c>
      <c r="F56" s="12">
        <v>2</v>
      </c>
      <c r="G56" s="156"/>
      <c r="H56" s="12"/>
      <c r="I56" s="12"/>
      <c r="J56" s="12">
        <f t="shared" si="14"/>
        <v>0</v>
      </c>
      <c r="K56" s="12">
        <v>0</v>
      </c>
      <c r="L56" s="12">
        <f t="shared" si="15"/>
        <v>0</v>
      </c>
      <c r="N56" s="22" t="s">
        <v>950</v>
      </c>
      <c r="O56" s="12">
        <f t="shared" si="16"/>
        <v>0</v>
      </c>
      <c r="Z56" s="12">
        <f t="shared" si="17"/>
        <v>0</v>
      </c>
      <c r="AA56" s="12">
        <f t="shared" si="18"/>
        <v>0</v>
      </c>
      <c r="AB56" s="12">
        <f t="shared" si="19"/>
        <v>0</v>
      </c>
      <c r="AD56" s="24">
        <v>21</v>
      </c>
      <c r="AE56" s="24">
        <f>G56*1</f>
        <v>0</v>
      </c>
      <c r="AF56" s="24">
        <f>G56*(1-1)</f>
        <v>0</v>
      </c>
    </row>
    <row r="57" spans="1:37">
      <c r="A57" s="5" t="s">
        <v>46</v>
      </c>
      <c r="B57" s="5" t="s">
        <v>307</v>
      </c>
      <c r="C57" s="5" t="s">
        <v>352</v>
      </c>
      <c r="D57" s="5" t="s">
        <v>644</v>
      </c>
      <c r="E57" s="5" t="s">
        <v>921</v>
      </c>
      <c r="F57" s="12">
        <v>2</v>
      </c>
      <c r="G57" s="156"/>
      <c r="H57" s="12"/>
      <c r="I57" s="12"/>
      <c r="J57" s="12">
        <f t="shared" si="14"/>
        <v>0</v>
      </c>
      <c r="K57" s="12">
        <v>0</v>
      </c>
      <c r="L57" s="12">
        <f t="shared" si="15"/>
        <v>0</v>
      </c>
      <c r="N57" s="22" t="s">
        <v>950</v>
      </c>
      <c r="O57" s="12">
        <f t="shared" si="16"/>
        <v>0</v>
      </c>
      <c r="Z57" s="12">
        <f t="shared" si="17"/>
        <v>0</v>
      </c>
      <c r="AA57" s="12">
        <f t="shared" si="18"/>
        <v>0</v>
      </c>
      <c r="AB57" s="12">
        <f t="shared" si="19"/>
        <v>0</v>
      </c>
      <c r="AD57" s="24">
        <v>21</v>
      </c>
      <c r="AE57" s="24">
        <f>G57*1</f>
        <v>0</v>
      </c>
      <c r="AF57" s="24">
        <f>G57*(1-1)</f>
        <v>0</v>
      </c>
    </row>
    <row r="58" spans="1:37">
      <c r="A58" s="5" t="s">
        <v>47</v>
      </c>
      <c r="B58" s="5" t="s">
        <v>307</v>
      </c>
      <c r="C58" s="5" t="s">
        <v>353</v>
      </c>
      <c r="D58" s="5" t="s">
        <v>645</v>
      </c>
      <c r="E58" s="5" t="s">
        <v>923</v>
      </c>
      <c r="F58" s="12">
        <v>2</v>
      </c>
      <c r="G58" s="156"/>
      <c r="H58" s="12"/>
      <c r="I58" s="12"/>
      <c r="J58" s="12">
        <f t="shared" si="14"/>
        <v>0</v>
      </c>
      <c r="K58" s="12">
        <v>0</v>
      </c>
      <c r="L58" s="12">
        <f t="shared" si="15"/>
        <v>0</v>
      </c>
      <c r="N58" s="22" t="s">
        <v>950</v>
      </c>
      <c r="O58" s="12">
        <f t="shared" si="16"/>
        <v>0</v>
      </c>
      <c r="Z58" s="12">
        <f t="shared" si="17"/>
        <v>0</v>
      </c>
      <c r="AA58" s="12">
        <f t="shared" si="18"/>
        <v>0</v>
      </c>
      <c r="AB58" s="12">
        <f t="shared" si="19"/>
        <v>0</v>
      </c>
      <c r="AD58" s="24">
        <v>21</v>
      </c>
      <c r="AE58" s="24">
        <f>G58*1</f>
        <v>0</v>
      </c>
      <c r="AF58" s="24">
        <f>G58*(1-1)</f>
        <v>0</v>
      </c>
    </row>
    <row r="59" spans="1:37">
      <c r="A59" s="5" t="s">
        <v>48</v>
      </c>
      <c r="B59" s="5" t="s">
        <v>307</v>
      </c>
      <c r="C59" s="5" t="s">
        <v>354</v>
      </c>
      <c r="D59" s="5" t="s">
        <v>646</v>
      </c>
      <c r="E59" s="5" t="s">
        <v>923</v>
      </c>
      <c r="F59" s="12">
        <v>2</v>
      </c>
      <c r="G59" s="156"/>
      <c r="H59" s="12"/>
      <c r="I59" s="12"/>
      <c r="J59" s="12">
        <f t="shared" si="14"/>
        <v>0</v>
      </c>
      <c r="K59" s="12">
        <v>0</v>
      </c>
      <c r="L59" s="12">
        <f t="shared" si="15"/>
        <v>0</v>
      </c>
      <c r="N59" s="22" t="s">
        <v>950</v>
      </c>
      <c r="O59" s="12">
        <f t="shared" si="16"/>
        <v>0</v>
      </c>
      <c r="Z59" s="12">
        <f t="shared" si="17"/>
        <v>0</v>
      </c>
      <c r="AA59" s="12">
        <f t="shared" si="18"/>
        <v>0</v>
      </c>
      <c r="AB59" s="12">
        <f t="shared" si="19"/>
        <v>0</v>
      </c>
      <c r="AD59" s="24">
        <v>21</v>
      </c>
      <c r="AE59" s="24">
        <f>G59*1</f>
        <v>0</v>
      </c>
      <c r="AF59" s="24">
        <f>G59*(1-1)</f>
        <v>0</v>
      </c>
    </row>
    <row r="60" spans="1:37">
      <c r="A60" s="5" t="s">
        <v>49</v>
      </c>
      <c r="B60" s="5" t="s">
        <v>307</v>
      </c>
      <c r="C60" s="5" t="s">
        <v>355</v>
      </c>
      <c r="D60" s="5" t="s">
        <v>647</v>
      </c>
      <c r="E60" s="5" t="s">
        <v>923</v>
      </c>
      <c r="F60" s="12">
        <v>4</v>
      </c>
      <c r="G60" s="156"/>
      <c r="H60" s="12"/>
      <c r="I60" s="12"/>
      <c r="J60" s="12">
        <f t="shared" si="14"/>
        <v>0</v>
      </c>
      <c r="K60" s="12">
        <v>0</v>
      </c>
      <c r="L60" s="12">
        <f t="shared" si="15"/>
        <v>0</v>
      </c>
      <c r="N60" s="22" t="s">
        <v>950</v>
      </c>
      <c r="O60" s="12">
        <f t="shared" si="16"/>
        <v>0</v>
      </c>
      <c r="Z60" s="12">
        <f t="shared" si="17"/>
        <v>0</v>
      </c>
      <c r="AA60" s="12">
        <f t="shared" si="18"/>
        <v>0</v>
      </c>
      <c r="AB60" s="12">
        <f t="shared" si="19"/>
        <v>0</v>
      </c>
      <c r="AD60" s="24">
        <v>21</v>
      </c>
      <c r="AE60" s="24">
        <f>G60*1</f>
        <v>0</v>
      </c>
      <c r="AF60" s="24">
        <f>G60*(1-1)</f>
        <v>0</v>
      </c>
    </row>
    <row r="61" spans="1:37">
      <c r="A61" s="6" t="s">
        <v>50</v>
      </c>
      <c r="B61" s="6" t="s">
        <v>307</v>
      </c>
      <c r="C61" s="6" t="s">
        <v>356</v>
      </c>
      <c r="D61" s="6" t="s">
        <v>648</v>
      </c>
      <c r="E61" s="6" t="s">
        <v>920</v>
      </c>
      <c r="F61" s="13">
        <v>2</v>
      </c>
      <c r="G61" s="157"/>
      <c r="H61" s="13"/>
      <c r="I61" s="13"/>
      <c r="J61" s="13">
        <f t="shared" si="14"/>
        <v>0</v>
      </c>
      <c r="K61" s="13">
        <v>0</v>
      </c>
      <c r="L61" s="13">
        <f t="shared" si="15"/>
        <v>0</v>
      </c>
      <c r="N61" s="23" t="s">
        <v>7</v>
      </c>
      <c r="O61" s="13">
        <f t="shared" si="16"/>
        <v>0</v>
      </c>
      <c r="Z61" s="13">
        <f t="shared" si="17"/>
        <v>0</v>
      </c>
      <c r="AA61" s="13">
        <f t="shared" si="18"/>
        <v>0</v>
      </c>
      <c r="AB61" s="13">
        <f t="shared" si="19"/>
        <v>0</v>
      </c>
      <c r="AD61" s="24">
        <v>21</v>
      </c>
      <c r="AE61" s="24">
        <f>G61*0</f>
        <v>0</v>
      </c>
      <c r="AF61" s="24">
        <f>G61*(1-0)</f>
        <v>0</v>
      </c>
    </row>
    <row r="62" spans="1:37">
      <c r="A62" s="6" t="s">
        <v>51</v>
      </c>
      <c r="B62" s="6" t="s">
        <v>307</v>
      </c>
      <c r="C62" s="6" t="s">
        <v>334</v>
      </c>
      <c r="D62" s="6" t="s">
        <v>624</v>
      </c>
      <c r="E62" s="6" t="s">
        <v>920</v>
      </c>
      <c r="F62" s="13">
        <v>2</v>
      </c>
      <c r="G62" s="157"/>
      <c r="H62" s="13"/>
      <c r="I62" s="13"/>
      <c r="J62" s="13">
        <f t="shared" si="14"/>
        <v>0</v>
      </c>
      <c r="K62" s="13">
        <v>5.7099999999999998E-3</v>
      </c>
      <c r="L62" s="13">
        <f t="shared" si="15"/>
        <v>1.142E-2</v>
      </c>
      <c r="N62" s="23" t="s">
        <v>7</v>
      </c>
      <c r="O62" s="13">
        <f t="shared" si="16"/>
        <v>0</v>
      </c>
      <c r="Z62" s="13">
        <f t="shared" si="17"/>
        <v>0</v>
      </c>
      <c r="AA62" s="13">
        <f t="shared" si="18"/>
        <v>0</v>
      </c>
      <c r="AB62" s="13">
        <f t="shared" si="19"/>
        <v>0</v>
      </c>
      <c r="AD62" s="24">
        <v>21</v>
      </c>
      <c r="AE62" s="24">
        <f>G62*0.584942287513116</f>
        <v>0</v>
      </c>
      <c r="AF62" s="24">
        <f>G62*(1-0.584942287513116)</f>
        <v>0</v>
      </c>
    </row>
    <row r="63" spans="1:37">
      <c r="A63" s="6" t="s">
        <v>52</v>
      </c>
      <c r="B63" s="6" t="s">
        <v>307</v>
      </c>
      <c r="C63" s="6" t="s">
        <v>357</v>
      </c>
      <c r="D63" s="6" t="s">
        <v>649</v>
      </c>
      <c r="E63" s="6" t="s">
        <v>921</v>
      </c>
      <c r="F63" s="13">
        <v>2</v>
      </c>
      <c r="G63" s="157"/>
      <c r="H63" s="13"/>
      <c r="I63" s="13"/>
      <c r="J63" s="13">
        <f t="shared" si="14"/>
        <v>0</v>
      </c>
      <c r="K63" s="13">
        <v>2.8000000000000001E-2</v>
      </c>
      <c r="L63" s="13">
        <f t="shared" si="15"/>
        <v>5.6000000000000001E-2</v>
      </c>
      <c r="N63" s="23" t="s">
        <v>7</v>
      </c>
      <c r="O63" s="13">
        <f t="shared" si="16"/>
        <v>0</v>
      </c>
      <c r="Z63" s="13">
        <f t="shared" si="17"/>
        <v>0</v>
      </c>
      <c r="AA63" s="13">
        <f t="shared" si="18"/>
        <v>0</v>
      </c>
      <c r="AB63" s="13">
        <f t="shared" si="19"/>
        <v>0</v>
      </c>
      <c r="AD63" s="24">
        <v>21</v>
      </c>
      <c r="AE63" s="24">
        <f>G63*0.00296341324417765</f>
        <v>0</v>
      </c>
      <c r="AF63" s="24">
        <f>G63*(1-0.00296341324417765)</f>
        <v>0</v>
      </c>
    </row>
    <row r="64" spans="1:37">
      <c r="A64" s="6" t="s">
        <v>53</v>
      </c>
      <c r="B64" s="6" t="s">
        <v>307</v>
      </c>
      <c r="C64" s="6" t="s">
        <v>358</v>
      </c>
      <c r="D64" s="6" t="s">
        <v>650</v>
      </c>
      <c r="E64" s="6" t="s">
        <v>920</v>
      </c>
      <c r="F64" s="13">
        <v>2</v>
      </c>
      <c r="G64" s="157"/>
      <c r="H64" s="13"/>
      <c r="I64" s="13"/>
      <c r="J64" s="13">
        <f t="shared" si="14"/>
        <v>0</v>
      </c>
      <c r="K64" s="13">
        <v>5.6800000000000002E-3</v>
      </c>
      <c r="L64" s="13">
        <f t="shared" si="15"/>
        <v>1.136E-2</v>
      </c>
      <c r="N64" s="23" t="s">
        <v>7</v>
      </c>
      <c r="O64" s="13">
        <f t="shared" si="16"/>
        <v>0</v>
      </c>
      <c r="Z64" s="13">
        <f t="shared" si="17"/>
        <v>0</v>
      </c>
      <c r="AA64" s="13">
        <f t="shared" si="18"/>
        <v>0</v>
      </c>
      <c r="AB64" s="13">
        <f t="shared" si="19"/>
        <v>0</v>
      </c>
      <c r="AD64" s="24">
        <v>21</v>
      </c>
      <c r="AE64" s="24">
        <f>G64*0.534423645320197</f>
        <v>0</v>
      </c>
      <c r="AF64" s="24">
        <f>G64*(1-0.534423645320197)</f>
        <v>0</v>
      </c>
    </row>
    <row r="65" spans="1:37">
      <c r="A65" s="6" t="s">
        <v>54</v>
      </c>
      <c r="B65" s="6" t="s">
        <v>307</v>
      </c>
      <c r="C65" s="6" t="s">
        <v>359</v>
      </c>
      <c r="D65" s="6" t="s">
        <v>651</v>
      </c>
      <c r="E65" s="6" t="s">
        <v>921</v>
      </c>
      <c r="F65" s="13">
        <v>2</v>
      </c>
      <c r="G65" s="157"/>
      <c r="H65" s="13"/>
      <c r="I65" s="13"/>
      <c r="J65" s="13">
        <f t="shared" si="14"/>
        <v>0</v>
      </c>
      <c r="K65" s="13">
        <v>3.0000000000000001E-5</v>
      </c>
      <c r="L65" s="13">
        <f t="shared" si="15"/>
        <v>6.0000000000000002E-5</v>
      </c>
      <c r="N65" s="23" t="s">
        <v>7</v>
      </c>
      <c r="O65" s="13">
        <f t="shared" si="16"/>
        <v>0</v>
      </c>
      <c r="Z65" s="13">
        <f t="shared" si="17"/>
        <v>0</v>
      </c>
      <c r="AA65" s="13">
        <f t="shared" si="18"/>
        <v>0</v>
      </c>
      <c r="AB65" s="13">
        <f t="shared" si="19"/>
        <v>0</v>
      </c>
      <c r="AD65" s="24">
        <v>21</v>
      </c>
      <c r="AE65" s="24">
        <f>G65*0.0546129374337222</f>
        <v>0</v>
      </c>
      <c r="AF65" s="24">
        <f>G65*(1-0.0546129374337222)</f>
        <v>0</v>
      </c>
    </row>
    <row r="66" spans="1:37">
      <c r="A66" s="6" t="s">
        <v>55</v>
      </c>
      <c r="B66" s="6" t="s">
        <v>307</v>
      </c>
      <c r="C66" s="6" t="s">
        <v>360</v>
      </c>
      <c r="D66" s="6" t="s">
        <v>652</v>
      </c>
      <c r="E66" s="6" t="s">
        <v>921</v>
      </c>
      <c r="F66" s="13">
        <v>2</v>
      </c>
      <c r="G66" s="157"/>
      <c r="H66" s="13"/>
      <c r="I66" s="13"/>
      <c r="J66" s="13">
        <f t="shared" si="14"/>
        <v>0</v>
      </c>
      <c r="K66" s="13">
        <v>3.0000000000000001E-5</v>
      </c>
      <c r="L66" s="13">
        <f t="shared" si="15"/>
        <v>6.0000000000000002E-5</v>
      </c>
      <c r="N66" s="23" t="s">
        <v>7</v>
      </c>
      <c r="O66" s="13">
        <f t="shared" si="16"/>
        <v>0</v>
      </c>
      <c r="Z66" s="13">
        <f t="shared" si="17"/>
        <v>0</v>
      </c>
      <c r="AA66" s="13">
        <f t="shared" si="18"/>
        <v>0</v>
      </c>
      <c r="AB66" s="13">
        <f t="shared" si="19"/>
        <v>0</v>
      </c>
      <c r="AD66" s="24">
        <v>21</v>
      </c>
      <c r="AE66" s="24">
        <f>G66*0.0802026171380329</f>
        <v>0</v>
      </c>
      <c r="AF66" s="24">
        <f>G66*(1-0.0802026171380329)</f>
        <v>0</v>
      </c>
    </row>
    <row r="67" spans="1:37">
      <c r="A67" s="6" t="s">
        <v>56</v>
      </c>
      <c r="B67" s="6" t="s">
        <v>307</v>
      </c>
      <c r="C67" s="6" t="s">
        <v>361</v>
      </c>
      <c r="D67" s="6" t="s">
        <v>653</v>
      </c>
      <c r="E67" s="6" t="s">
        <v>921</v>
      </c>
      <c r="F67" s="13">
        <v>4</v>
      </c>
      <c r="G67" s="157"/>
      <c r="H67" s="13"/>
      <c r="I67" s="13"/>
      <c r="J67" s="13">
        <f t="shared" si="14"/>
        <v>0</v>
      </c>
      <c r="K67" s="13">
        <v>3.0000000000000001E-5</v>
      </c>
      <c r="L67" s="13">
        <f t="shared" si="15"/>
        <v>1.2E-4</v>
      </c>
      <c r="N67" s="23" t="s">
        <v>7</v>
      </c>
      <c r="O67" s="13">
        <f t="shared" si="16"/>
        <v>0</v>
      </c>
      <c r="Z67" s="13">
        <f t="shared" si="17"/>
        <v>0</v>
      </c>
      <c r="AA67" s="13">
        <f t="shared" si="18"/>
        <v>0</v>
      </c>
      <c r="AB67" s="13">
        <f t="shared" si="19"/>
        <v>0</v>
      </c>
      <c r="AD67" s="24">
        <v>21</v>
      </c>
      <c r="AE67" s="24">
        <f>G67*0.0773587334277256</f>
        <v>0</v>
      </c>
      <c r="AF67" s="24">
        <f>G67*(1-0.0773587334277256)</f>
        <v>0</v>
      </c>
    </row>
    <row r="68" spans="1:37">
      <c r="A68" s="6" t="s">
        <v>57</v>
      </c>
      <c r="B68" s="6" t="s">
        <v>307</v>
      </c>
      <c r="C68" s="6" t="s">
        <v>361</v>
      </c>
      <c r="D68" s="6" t="s">
        <v>653</v>
      </c>
      <c r="E68" s="6" t="s">
        <v>921</v>
      </c>
      <c r="F68" s="13">
        <v>1</v>
      </c>
      <c r="G68" s="157"/>
      <c r="H68" s="13"/>
      <c r="I68" s="13"/>
      <c r="J68" s="13">
        <f t="shared" si="14"/>
        <v>0</v>
      </c>
      <c r="K68" s="13">
        <v>3.0000000000000001E-5</v>
      </c>
      <c r="L68" s="13">
        <f t="shared" si="15"/>
        <v>3.0000000000000001E-5</v>
      </c>
      <c r="N68" s="23" t="s">
        <v>7</v>
      </c>
      <c r="O68" s="13">
        <f t="shared" si="16"/>
        <v>0</v>
      </c>
      <c r="Z68" s="13">
        <f t="shared" si="17"/>
        <v>0</v>
      </c>
      <c r="AA68" s="13">
        <f t="shared" si="18"/>
        <v>0</v>
      </c>
      <c r="AB68" s="13">
        <f t="shared" si="19"/>
        <v>0</v>
      </c>
      <c r="AD68" s="24">
        <v>21</v>
      </c>
      <c r="AE68" s="24">
        <f>G68*0.0773587334277256</f>
        <v>0</v>
      </c>
      <c r="AF68" s="24">
        <f>G68*(1-0.0773587334277256)</f>
        <v>0</v>
      </c>
    </row>
    <row r="69" spans="1:37">
      <c r="A69" s="6" t="s">
        <v>58</v>
      </c>
      <c r="B69" s="6" t="s">
        <v>307</v>
      </c>
      <c r="C69" s="6" t="s">
        <v>362</v>
      </c>
      <c r="D69" s="6" t="s">
        <v>653</v>
      </c>
      <c r="E69" s="6" t="s">
        <v>921</v>
      </c>
      <c r="F69" s="13">
        <v>2</v>
      </c>
      <c r="G69" s="157"/>
      <c r="H69" s="13"/>
      <c r="I69" s="13"/>
      <c r="J69" s="13">
        <f t="shared" si="14"/>
        <v>0</v>
      </c>
      <c r="K69" s="13">
        <v>3.0000000000000001E-5</v>
      </c>
      <c r="L69" s="13">
        <f t="shared" si="15"/>
        <v>6.0000000000000002E-5</v>
      </c>
      <c r="N69" s="23" t="s">
        <v>7</v>
      </c>
      <c r="O69" s="13">
        <f t="shared" si="16"/>
        <v>0</v>
      </c>
      <c r="Z69" s="13">
        <f t="shared" si="17"/>
        <v>0</v>
      </c>
      <c r="AA69" s="13">
        <f t="shared" si="18"/>
        <v>0</v>
      </c>
      <c r="AB69" s="13">
        <f t="shared" si="19"/>
        <v>0</v>
      </c>
      <c r="AD69" s="24">
        <v>21</v>
      </c>
      <c r="AE69" s="24">
        <f>G69*0.784596057209123</f>
        <v>0</v>
      </c>
      <c r="AF69" s="24">
        <f>G69*(1-0.784596057209123)</f>
        <v>0</v>
      </c>
    </row>
    <row r="70" spans="1:37">
      <c r="A70" s="6" t="s">
        <v>59</v>
      </c>
      <c r="B70" s="6" t="s">
        <v>307</v>
      </c>
      <c r="C70" s="6" t="s">
        <v>363</v>
      </c>
      <c r="D70" s="6" t="s">
        <v>654</v>
      </c>
      <c r="E70" s="6" t="s">
        <v>921</v>
      </c>
      <c r="F70" s="13">
        <v>1</v>
      </c>
      <c r="G70" s="157"/>
      <c r="H70" s="13"/>
      <c r="I70" s="13"/>
      <c r="J70" s="13">
        <f t="shared" si="14"/>
        <v>0</v>
      </c>
      <c r="K70" s="13">
        <v>4.0000000000000003E-5</v>
      </c>
      <c r="L70" s="13">
        <f t="shared" si="15"/>
        <v>4.0000000000000003E-5</v>
      </c>
      <c r="N70" s="23" t="s">
        <v>7</v>
      </c>
      <c r="O70" s="13">
        <f t="shared" si="16"/>
        <v>0</v>
      </c>
      <c r="Z70" s="13">
        <f t="shared" si="17"/>
        <v>0</v>
      </c>
      <c r="AA70" s="13">
        <f t="shared" si="18"/>
        <v>0</v>
      </c>
      <c r="AB70" s="13">
        <f t="shared" si="19"/>
        <v>0</v>
      </c>
      <c r="AD70" s="24">
        <v>21</v>
      </c>
      <c r="AE70" s="24">
        <f>G70*0.0735262362340747</f>
        <v>0</v>
      </c>
      <c r="AF70" s="24">
        <f>G70*(1-0.0735262362340747)</f>
        <v>0</v>
      </c>
    </row>
    <row r="71" spans="1:37">
      <c r="A71" s="6" t="s">
        <v>60</v>
      </c>
      <c r="B71" s="6" t="s">
        <v>307</v>
      </c>
      <c r="C71" s="6" t="s">
        <v>338</v>
      </c>
      <c r="D71" s="6" t="s">
        <v>628</v>
      </c>
      <c r="E71" s="6" t="s">
        <v>921</v>
      </c>
      <c r="F71" s="13">
        <v>2</v>
      </c>
      <c r="G71" s="157"/>
      <c r="H71" s="13"/>
      <c r="I71" s="13"/>
      <c r="J71" s="13">
        <f t="shared" si="14"/>
        <v>0</v>
      </c>
      <c r="K71" s="13">
        <v>4.0000000000000003E-5</v>
      </c>
      <c r="L71" s="13">
        <f t="shared" si="15"/>
        <v>8.0000000000000007E-5</v>
      </c>
      <c r="N71" s="23" t="s">
        <v>7</v>
      </c>
      <c r="O71" s="13">
        <f t="shared" si="16"/>
        <v>0</v>
      </c>
      <c r="Z71" s="13">
        <f t="shared" si="17"/>
        <v>0</v>
      </c>
      <c r="AA71" s="13">
        <f t="shared" si="18"/>
        <v>0</v>
      </c>
      <c r="AB71" s="13">
        <f t="shared" si="19"/>
        <v>0</v>
      </c>
      <c r="AD71" s="24">
        <v>21</v>
      </c>
      <c r="AE71" s="24">
        <f>G71*0.124983606557377</f>
        <v>0</v>
      </c>
      <c r="AF71" s="24">
        <f>G71*(1-0.124983606557377)</f>
        <v>0</v>
      </c>
    </row>
    <row r="72" spans="1:37">
      <c r="A72" s="6" t="s">
        <v>61</v>
      </c>
      <c r="B72" s="6" t="s">
        <v>307</v>
      </c>
      <c r="C72" s="6" t="s">
        <v>364</v>
      </c>
      <c r="D72" s="6" t="s">
        <v>655</v>
      </c>
      <c r="E72" s="6" t="s">
        <v>921</v>
      </c>
      <c r="F72" s="13">
        <v>1</v>
      </c>
      <c r="G72" s="157"/>
      <c r="H72" s="13"/>
      <c r="I72" s="13"/>
      <c r="J72" s="13">
        <f t="shared" si="14"/>
        <v>0</v>
      </c>
      <c r="K72" s="13">
        <v>1.7000000000000001E-4</v>
      </c>
      <c r="L72" s="13">
        <f t="shared" si="15"/>
        <v>1.7000000000000001E-4</v>
      </c>
      <c r="N72" s="23" t="s">
        <v>7</v>
      </c>
      <c r="O72" s="13">
        <f t="shared" si="16"/>
        <v>0</v>
      </c>
      <c r="Z72" s="13">
        <f t="shared" si="17"/>
        <v>0</v>
      </c>
      <c r="AA72" s="13">
        <f t="shared" si="18"/>
        <v>0</v>
      </c>
      <c r="AB72" s="13">
        <f t="shared" si="19"/>
        <v>0</v>
      </c>
      <c r="AD72" s="24">
        <v>21</v>
      </c>
      <c r="AE72" s="24">
        <f>G72*0.737971686231044</f>
        <v>0</v>
      </c>
      <c r="AF72" s="24">
        <f>G72*(1-0.737971686231044)</f>
        <v>0</v>
      </c>
    </row>
    <row r="73" spans="1:37">
      <c r="A73" s="6" t="s">
        <v>62</v>
      </c>
      <c r="B73" s="6" t="s">
        <v>307</v>
      </c>
      <c r="C73" s="6" t="s">
        <v>341</v>
      </c>
      <c r="D73" s="6" t="s">
        <v>631</v>
      </c>
      <c r="E73" s="6" t="s">
        <v>919</v>
      </c>
      <c r="F73" s="13">
        <v>1</v>
      </c>
      <c r="G73" s="157"/>
      <c r="H73" s="13"/>
      <c r="I73" s="13"/>
      <c r="J73" s="13">
        <f t="shared" si="14"/>
        <v>0</v>
      </c>
      <c r="K73" s="13">
        <v>0</v>
      </c>
      <c r="L73" s="13">
        <f t="shared" si="15"/>
        <v>0</v>
      </c>
      <c r="N73" s="23" t="s">
        <v>11</v>
      </c>
      <c r="O73" s="13">
        <f t="shared" si="16"/>
        <v>0</v>
      </c>
      <c r="Z73" s="13">
        <f t="shared" si="17"/>
        <v>0</v>
      </c>
      <c r="AA73" s="13">
        <f t="shared" si="18"/>
        <v>0</v>
      </c>
      <c r="AB73" s="13">
        <f t="shared" si="19"/>
        <v>0</v>
      </c>
      <c r="AD73" s="24">
        <v>21</v>
      </c>
      <c r="AE73" s="24">
        <f>G73*0</f>
        <v>0</v>
      </c>
      <c r="AF73" s="24">
        <f>G73*(1-0)</f>
        <v>0</v>
      </c>
    </row>
    <row r="74" spans="1:37">
      <c r="A74" s="4"/>
      <c r="B74" s="4"/>
      <c r="C74" s="114"/>
      <c r="D74" s="135" t="s">
        <v>656</v>
      </c>
      <c r="E74" s="136"/>
      <c r="F74" s="136"/>
      <c r="G74" s="155"/>
      <c r="H74" s="26"/>
      <c r="I74" s="26"/>
      <c r="J74" s="26"/>
      <c r="K74" s="19"/>
      <c r="L74" s="26">
        <f>L75+L89</f>
        <v>5.0130000000000001E-2</v>
      </c>
    </row>
    <row r="75" spans="1:37">
      <c r="A75" s="4"/>
      <c r="B75" s="4"/>
      <c r="C75" s="114" t="s">
        <v>365</v>
      </c>
      <c r="D75" s="135" t="s">
        <v>657</v>
      </c>
      <c r="E75" s="136"/>
      <c r="F75" s="136"/>
      <c r="G75" s="155"/>
      <c r="H75" s="26"/>
      <c r="I75" s="26"/>
      <c r="J75" s="26"/>
      <c r="K75" s="19"/>
      <c r="L75" s="26">
        <f>SUM(L76:L88)</f>
        <v>2.8599999999999997E-3</v>
      </c>
      <c r="P75" s="26">
        <f>IF(Q75="PR",J75,SUM(O76:O88))</f>
        <v>0</v>
      </c>
      <c r="Q75" s="19" t="s">
        <v>953</v>
      </c>
      <c r="R75" s="26">
        <f>IF(Q75="HS",H75,0)</f>
        <v>0</v>
      </c>
      <c r="S75" s="26">
        <f>IF(Q75="HS",I75-P75,0)</f>
        <v>0</v>
      </c>
      <c r="T75" s="26">
        <f>IF(Q75="PS",H75,0)</f>
        <v>0</v>
      </c>
      <c r="U75" s="26">
        <f>IF(Q75="PS",I75-P75,0)</f>
        <v>0</v>
      </c>
      <c r="V75" s="26">
        <f>IF(Q75="MP",H75,0)</f>
        <v>0</v>
      </c>
      <c r="W75" s="26">
        <f>IF(Q75="MP",I75-P75,0)</f>
        <v>0</v>
      </c>
      <c r="X75" s="26">
        <f>IF(Q75="OM",H75,0)</f>
        <v>0</v>
      </c>
      <c r="Y75" s="19" t="s">
        <v>308</v>
      </c>
      <c r="AI75" s="26">
        <f>SUM(Z76:Z88)</f>
        <v>0</v>
      </c>
      <c r="AJ75" s="26">
        <f>SUM(AA76:AA88)</f>
        <v>0</v>
      </c>
      <c r="AK75" s="26">
        <f>SUM(AB76:AB88)</f>
        <v>0</v>
      </c>
    </row>
    <row r="76" spans="1:37">
      <c r="A76" s="5" t="s">
        <v>63</v>
      </c>
      <c r="B76" s="5" t="s">
        <v>308</v>
      </c>
      <c r="C76" s="5" t="s">
        <v>366</v>
      </c>
      <c r="D76" s="5" t="s">
        <v>658</v>
      </c>
      <c r="E76" s="5" t="s">
        <v>921</v>
      </c>
      <c r="F76" s="12">
        <v>2</v>
      </c>
      <c r="G76" s="156"/>
      <c r="H76" s="12"/>
      <c r="I76" s="12"/>
      <c r="J76" s="12">
        <f t="shared" ref="J76:J88" si="20">ROUND(F76*G76,2)</f>
        <v>0</v>
      </c>
      <c r="K76" s="12">
        <v>1.1E-4</v>
      </c>
      <c r="L76" s="12">
        <f t="shared" ref="L76:L88" si="21">F76*K76</f>
        <v>2.2000000000000001E-4</v>
      </c>
      <c r="N76" s="22" t="s">
        <v>950</v>
      </c>
      <c r="O76" s="12">
        <f t="shared" ref="O76:O88" si="22">IF(N76="5",I76,0)</f>
        <v>0</v>
      </c>
      <c r="Z76" s="12">
        <f t="shared" ref="Z76:Z88" si="23">IF(AD76=0,J76,0)</f>
        <v>0</v>
      </c>
      <c r="AA76" s="12">
        <f t="shared" ref="AA76:AA88" si="24">IF(AD76=15,J76,0)</f>
        <v>0</v>
      </c>
      <c r="AB76" s="12">
        <f t="shared" ref="AB76:AB88" si="25">IF(AD76=21,J76,0)</f>
        <v>0</v>
      </c>
      <c r="AD76" s="24">
        <v>21</v>
      </c>
      <c r="AE76" s="24">
        <f t="shared" ref="AE76:AE81" si="26">G76*1</f>
        <v>0</v>
      </c>
      <c r="AF76" s="24">
        <f t="shared" ref="AF76:AF81" si="27">G76*(1-1)</f>
        <v>0</v>
      </c>
    </row>
    <row r="77" spans="1:37">
      <c r="A77" s="5" t="s">
        <v>64</v>
      </c>
      <c r="B77" s="5" t="s">
        <v>308</v>
      </c>
      <c r="C77" s="5" t="s">
        <v>367</v>
      </c>
      <c r="D77" s="5" t="s">
        <v>659</v>
      </c>
      <c r="E77" s="5" t="s">
        <v>924</v>
      </c>
      <c r="F77" s="12">
        <v>1</v>
      </c>
      <c r="G77" s="156"/>
      <c r="H77" s="12"/>
      <c r="I77" s="12"/>
      <c r="J77" s="12">
        <f t="shared" si="20"/>
        <v>0</v>
      </c>
      <c r="K77" s="12">
        <v>0</v>
      </c>
      <c r="L77" s="12">
        <f t="shared" si="21"/>
        <v>0</v>
      </c>
      <c r="N77" s="22" t="s">
        <v>950</v>
      </c>
      <c r="O77" s="12">
        <f t="shared" si="22"/>
        <v>0</v>
      </c>
      <c r="Z77" s="12">
        <f t="shared" si="23"/>
        <v>0</v>
      </c>
      <c r="AA77" s="12">
        <f t="shared" si="24"/>
        <v>0</v>
      </c>
      <c r="AB77" s="12">
        <f t="shared" si="25"/>
        <v>0</v>
      </c>
      <c r="AD77" s="24">
        <v>21</v>
      </c>
      <c r="AE77" s="24">
        <f t="shared" si="26"/>
        <v>0</v>
      </c>
      <c r="AF77" s="24">
        <f t="shared" si="27"/>
        <v>0</v>
      </c>
    </row>
    <row r="78" spans="1:37">
      <c r="A78" s="5" t="s">
        <v>65</v>
      </c>
      <c r="B78" s="5" t="s">
        <v>308</v>
      </c>
      <c r="C78" s="5" t="s">
        <v>368</v>
      </c>
      <c r="D78" s="5" t="s">
        <v>660</v>
      </c>
      <c r="E78" s="5" t="s">
        <v>926</v>
      </c>
      <c r="F78" s="12">
        <v>4</v>
      </c>
      <c r="G78" s="156"/>
      <c r="H78" s="12"/>
      <c r="I78" s="12"/>
      <c r="J78" s="12">
        <f t="shared" si="20"/>
        <v>0</v>
      </c>
      <c r="K78" s="12">
        <v>0</v>
      </c>
      <c r="L78" s="12">
        <f t="shared" si="21"/>
        <v>0</v>
      </c>
      <c r="N78" s="22" t="s">
        <v>950</v>
      </c>
      <c r="O78" s="12">
        <f t="shared" si="22"/>
        <v>0</v>
      </c>
      <c r="Z78" s="12">
        <f t="shared" si="23"/>
        <v>0</v>
      </c>
      <c r="AA78" s="12">
        <f t="shared" si="24"/>
        <v>0</v>
      </c>
      <c r="AB78" s="12">
        <f t="shared" si="25"/>
        <v>0</v>
      </c>
      <c r="AD78" s="24">
        <v>21</v>
      </c>
      <c r="AE78" s="24">
        <f t="shared" si="26"/>
        <v>0</v>
      </c>
      <c r="AF78" s="24">
        <f t="shared" si="27"/>
        <v>0</v>
      </c>
    </row>
    <row r="79" spans="1:37">
      <c r="A79" s="5" t="s">
        <v>66</v>
      </c>
      <c r="B79" s="5" t="s">
        <v>308</v>
      </c>
      <c r="C79" s="5" t="s">
        <v>369</v>
      </c>
      <c r="D79" s="5" t="s">
        <v>661</v>
      </c>
      <c r="E79" s="5" t="s">
        <v>921</v>
      </c>
      <c r="F79" s="12">
        <v>2</v>
      </c>
      <c r="G79" s="156"/>
      <c r="H79" s="12"/>
      <c r="I79" s="12"/>
      <c r="J79" s="12">
        <f t="shared" si="20"/>
        <v>0</v>
      </c>
      <c r="K79" s="12">
        <v>0</v>
      </c>
      <c r="L79" s="12">
        <f t="shared" si="21"/>
        <v>0</v>
      </c>
      <c r="N79" s="22" t="s">
        <v>950</v>
      </c>
      <c r="O79" s="12">
        <f t="shared" si="22"/>
        <v>0</v>
      </c>
      <c r="Z79" s="12">
        <f t="shared" si="23"/>
        <v>0</v>
      </c>
      <c r="AA79" s="12">
        <f t="shared" si="24"/>
        <v>0</v>
      </c>
      <c r="AB79" s="12">
        <f t="shared" si="25"/>
        <v>0</v>
      </c>
      <c r="AD79" s="24">
        <v>21</v>
      </c>
      <c r="AE79" s="24">
        <f t="shared" si="26"/>
        <v>0</v>
      </c>
      <c r="AF79" s="24">
        <f t="shared" si="27"/>
        <v>0</v>
      </c>
    </row>
    <row r="80" spans="1:37">
      <c r="A80" s="5" t="s">
        <v>67</v>
      </c>
      <c r="B80" s="5" t="s">
        <v>308</v>
      </c>
      <c r="C80" s="5" t="s">
        <v>355</v>
      </c>
      <c r="D80" s="5" t="s">
        <v>647</v>
      </c>
      <c r="E80" s="5" t="s">
        <v>923</v>
      </c>
      <c r="F80" s="12">
        <v>1</v>
      </c>
      <c r="G80" s="156"/>
      <c r="H80" s="12"/>
      <c r="I80" s="12"/>
      <c r="J80" s="12">
        <f t="shared" si="20"/>
        <v>0</v>
      </c>
      <c r="K80" s="12">
        <v>0</v>
      </c>
      <c r="L80" s="12">
        <f t="shared" si="21"/>
        <v>0</v>
      </c>
      <c r="N80" s="22" t="s">
        <v>950</v>
      </c>
      <c r="O80" s="12">
        <f t="shared" si="22"/>
        <v>0</v>
      </c>
      <c r="Z80" s="12">
        <f t="shared" si="23"/>
        <v>0</v>
      </c>
      <c r="AA80" s="12">
        <f t="shared" si="24"/>
        <v>0</v>
      </c>
      <c r="AB80" s="12">
        <f t="shared" si="25"/>
        <v>0</v>
      </c>
      <c r="AD80" s="24">
        <v>21</v>
      </c>
      <c r="AE80" s="24">
        <f t="shared" si="26"/>
        <v>0</v>
      </c>
      <c r="AF80" s="24">
        <f t="shared" si="27"/>
        <v>0</v>
      </c>
    </row>
    <row r="81" spans="1:37">
      <c r="A81" s="5" t="s">
        <v>68</v>
      </c>
      <c r="B81" s="5" t="s">
        <v>308</v>
      </c>
      <c r="C81" s="5" t="s">
        <v>370</v>
      </c>
      <c r="D81" s="5" t="s">
        <v>662</v>
      </c>
      <c r="E81" s="5" t="s">
        <v>923</v>
      </c>
      <c r="F81" s="12">
        <v>6</v>
      </c>
      <c r="G81" s="156"/>
      <c r="H81" s="12"/>
      <c r="I81" s="12"/>
      <c r="J81" s="12">
        <f t="shared" si="20"/>
        <v>0</v>
      </c>
      <c r="K81" s="12">
        <v>0</v>
      </c>
      <c r="L81" s="12">
        <f t="shared" si="21"/>
        <v>0</v>
      </c>
      <c r="N81" s="22" t="s">
        <v>950</v>
      </c>
      <c r="O81" s="12">
        <f t="shared" si="22"/>
        <v>0</v>
      </c>
      <c r="Z81" s="12">
        <f t="shared" si="23"/>
        <v>0</v>
      </c>
      <c r="AA81" s="12">
        <f t="shared" si="24"/>
        <v>0</v>
      </c>
      <c r="AB81" s="12">
        <f t="shared" si="25"/>
        <v>0</v>
      </c>
      <c r="AD81" s="24">
        <v>21</v>
      </c>
      <c r="AE81" s="24">
        <f t="shared" si="26"/>
        <v>0</v>
      </c>
      <c r="AF81" s="24">
        <f t="shared" si="27"/>
        <v>0</v>
      </c>
    </row>
    <row r="82" spans="1:37">
      <c r="A82" s="6" t="s">
        <v>69</v>
      </c>
      <c r="B82" s="6" t="s">
        <v>308</v>
      </c>
      <c r="C82" s="6" t="s">
        <v>371</v>
      </c>
      <c r="D82" s="6" t="s">
        <v>663</v>
      </c>
      <c r="E82" s="6" t="s">
        <v>921</v>
      </c>
      <c r="F82" s="13">
        <v>1</v>
      </c>
      <c r="G82" s="157"/>
      <c r="H82" s="13"/>
      <c r="I82" s="13"/>
      <c r="J82" s="13">
        <f t="shared" si="20"/>
        <v>0</v>
      </c>
      <c r="K82" s="13">
        <v>0</v>
      </c>
      <c r="L82" s="13">
        <f t="shared" si="21"/>
        <v>0</v>
      </c>
      <c r="N82" s="23" t="s">
        <v>7</v>
      </c>
      <c r="O82" s="13">
        <f t="shared" si="22"/>
        <v>0</v>
      </c>
      <c r="Z82" s="13">
        <f t="shared" si="23"/>
        <v>0</v>
      </c>
      <c r="AA82" s="13">
        <f t="shared" si="24"/>
        <v>0</v>
      </c>
      <c r="AB82" s="13">
        <f t="shared" si="25"/>
        <v>0</v>
      </c>
      <c r="AD82" s="24">
        <v>21</v>
      </c>
      <c r="AE82" s="24">
        <f>G82*0.753232870098969</f>
        <v>0</v>
      </c>
      <c r="AF82" s="24">
        <f>G82*(1-0.753232870098969)</f>
        <v>0</v>
      </c>
    </row>
    <row r="83" spans="1:37">
      <c r="A83" s="6" t="s">
        <v>70</v>
      </c>
      <c r="B83" s="6" t="s">
        <v>308</v>
      </c>
      <c r="C83" s="6" t="s">
        <v>372</v>
      </c>
      <c r="D83" s="6" t="s">
        <v>664</v>
      </c>
      <c r="E83" s="6" t="s">
        <v>921</v>
      </c>
      <c r="F83" s="13">
        <v>2</v>
      </c>
      <c r="G83" s="157"/>
      <c r="H83" s="13"/>
      <c r="I83" s="13"/>
      <c r="J83" s="13">
        <f t="shared" si="20"/>
        <v>0</v>
      </c>
      <c r="K83" s="13">
        <v>3.6999999999999999E-4</v>
      </c>
      <c r="L83" s="13">
        <f t="shared" si="21"/>
        <v>7.3999999999999999E-4</v>
      </c>
      <c r="N83" s="23" t="s">
        <v>7</v>
      </c>
      <c r="O83" s="13">
        <f t="shared" si="22"/>
        <v>0</v>
      </c>
      <c r="Z83" s="13">
        <f t="shared" si="23"/>
        <v>0</v>
      </c>
      <c r="AA83" s="13">
        <f t="shared" si="24"/>
        <v>0</v>
      </c>
      <c r="AB83" s="13">
        <f t="shared" si="25"/>
        <v>0</v>
      </c>
      <c r="AD83" s="24">
        <v>21</v>
      </c>
      <c r="AE83" s="24">
        <f>G83*0.878503879522572</f>
        <v>0</v>
      </c>
      <c r="AF83" s="24">
        <f>G83*(1-0.878503879522572)</f>
        <v>0</v>
      </c>
    </row>
    <row r="84" spans="1:37">
      <c r="A84" s="6" t="s">
        <v>71</v>
      </c>
      <c r="B84" s="6" t="s">
        <v>308</v>
      </c>
      <c r="C84" s="6" t="s">
        <v>373</v>
      </c>
      <c r="D84" s="6" t="s">
        <v>665</v>
      </c>
      <c r="E84" s="6" t="s">
        <v>921</v>
      </c>
      <c r="F84" s="13">
        <v>2</v>
      </c>
      <c r="G84" s="157"/>
      <c r="H84" s="13"/>
      <c r="I84" s="13"/>
      <c r="J84" s="13">
        <f t="shared" si="20"/>
        <v>0</v>
      </c>
      <c r="K84" s="13">
        <v>8.1999999999999998E-4</v>
      </c>
      <c r="L84" s="13">
        <f t="shared" si="21"/>
        <v>1.64E-3</v>
      </c>
      <c r="N84" s="23" t="s">
        <v>7</v>
      </c>
      <c r="O84" s="13">
        <f t="shared" si="22"/>
        <v>0</v>
      </c>
      <c r="Z84" s="13">
        <f t="shared" si="23"/>
        <v>0</v>
      </c>
      <c r="AA84" s="13">
        <f t="shared" si="24"/>
        <v>0</v>
      </c>
      <c r="AB84" s="13">
        <f t="shared" si="25"/>
        <v>0</v>
      </c>
      <c r="AD84" s="24">
        <v>21</v>
      </c>
      <c r="AE84" s="24">
        <f>G84*0.827769621410864</f>
        <v>0</v>
      </c>
      <c r="AF84" s="24">
        <f>G84*(1-0.827769621410864)</f>
        <v>0</v>
      </c>
    </row>
    <row r="85" spans="1:37">
      <c r="A85" s="6" t="s">
        <v>72</v>
      </c>
      <c r="B85" s="6" t="s">
        <v>308</v>
      </c>
      <c r="C85" s="6" t="s">
        <v>374</v>
      </c>
      <c r="D85" s="6" t="s">
        <v>666</v>
      </c>
      <c r="E85" s="6" t="s">
        <v>921</v>
      </c>
      <c r="F85" s="13">
        <v>1</v>
      </c>
      <c r="G85" s="157"/>
      <c r="H85" s="13"/>
      <c r="I85" s="13"/>
      <c r="J85" s="13">
        <f t="shared" si="20"/>
        <v>0</v>
      </c>
      <c r="K85" s="13">
        <v>2.0000000000000002E-5</v>
      </c>
      <c r="L85" s="13">
        <f t="shared" si="21"/>
        <v>2.0000000000000002E-5</v>
      </c>
      <c r="N85" s="23" t="s">
        <v>7</v>
      </c>
      <c r="O85" s="13">
        <f t="shared" si="22"/>
        <v>0</v>
      </c>
      <c r="Z85" s="13">
        <f t="shared" si="23"/>
        <v>0</v>
      </c>
      <c r="AA85" s="13">
        <f t="shared" si="24"/>
        <v>0</v>
      </c>
      <c r="AB85" s="13">
        <f t="shared" si="25"/>
        <v>0</v>
      </c>
      <c r="AD85" s="24">
        <v>21</v>
      </c>
      <c r="AE85" s="24">
        <f>G85*0.0546819156540386</f>
        <v>0</v>
      </c>
      <c r="AF85" s="24">
        <f>G85*(1-0.0546819156540386)</f>
        <v>0</v>
      </c>
    </row>
    <row r="86" spans="1:37">
      <c r="A86" s="6" t="s">
        <v>73</v>
      </c>
      <c r="B86" s="6" t="s">
        <v>308</v>
      </c>
      <c r="C86" s="6" t="s">
        <v>375</v>
      </c>
      <c r="D86" s="6" t="s">
        <v>667</v>
      </c>
      <c r="E86" s="6" t="s">
        <v>921</v>
      </c>
      <c r="F86" s="13">
        <v>5</v>
      </c>
      <c r="G86" s="157"/>
      <c r="H86" s="13"/>
      <c r="I86" s="13"/>
      <c r="J86" s="13">
        <f t="shared" si="20"/>
        <v>0</v>
      </c>
      <c r="K86" s="13">
        <v>2.0000000000000002E-5</v>
      </c>
      <c r="L86" s="13">
        <f t="shared" si="21"/>
        <v>1E-4</v>
      </c>
      <c r="N86" s="23" t="s">
        <v>7</v>
      </c>
      <c r="O86" s="13">
        <f t="shared" si="22"/>
        <v>0</v>
      </c>
      <c r="Z86" s="13">
        <f t="shared" si="23"/>
        <v>0</v>
      </c>
      <c r="AA86" s="13">
        <f t="shared" si="24"/>
        <v>0</v>
      </c>
      <c r="AB86" s="13">
        <f t="shared" si="25"/>
        <v>0</v>
      </c>
      <c r="AD86" s="24">
        <v>21</v>
      </c>
      <c r="AE86" s="24">
        <f>G86*0.0773570712136409</f>
        <v>0</v>
      </c>
      <c r="AF86" s="24">
        <f>G86*(1-0.0773570712136409)</f>
        <v>0</v>
      </c>
    </row>
    <row r="87" spans="1:37">
      <c r="A87" s="6" t="s">
        <v>74</v>
      </c>
      <c r="B87" s="6" t="s">
        <v>308</v>
      </c>
      <c r="C87" s="6" t="s">
        <v>376</v>
      </c>
      <c r="D87" s="6" t="s">
        <v>668</v>
      </c>
      <c r="E87" s="6" t="s">
        <v>921</v>
      </c>
      <c r="F87" s="13">
        <v>7</v>
      </c>
      <c r="G87" s="157"/>
      <c r="H87" s="13"/>
      <c r="I87" s="13"/>
      <c r="J87" s="13">
        <f t="shared" si="20"/>
        <v>0</v>
      </c>
      <c r="K87" s="13">
        <v>2.0000000000000002E-5</v>
      </c>
      <c r="L87" s="13">
        <f t="shared" si="21"/>
        <v>1.4000000000000001E-4</v>
      </c>
      <c r="N87" s="23" t="s">
        <v>7</v>
      </c>
      <c r="O87" s="13">
        <f t="shared" si="22"/>
        <v>0</v>
      </c>
      <c r="Z87" s="13">
        <f t="shared" si="23"/>
        <v>0</v>
      </c>
      <c r="AA87" s="13">
        <f t="shared" si="24"/>
        <v>0</v>
      </c>
      <c r="AB87" s="13">
        <f t="shared" si="25"/>
        <v>0</v>
      </c>
      <c r="AD87" s="24">
        <v>21</v>
      </c>
      <c r="AE87" s="24">
        <f>G87*0.0904149012710848</f>
        <v>0</v>
      </c>
      <c r="AF87" s="24">
        <f>G87*(1-0.0904149012710848)</f>
        <v>0</v>
      </c>
    </row>
    <row r="88" spans="1:37">
      <c r="A88" s="6" t="s">
        <v>75</v>
      </c>
      <c r="B88" s="6" t="s">
        <v>308</v>
      </c>
      <c r="C88" s="6" t="s">
        <v>377</v>
      </c>
      <c r="D88" s="6" t="s">
        <v>669</v>
      </c>
      <c r="E88" s="6" t="s">
        <v>919</v>
      </c>
      <c r="F88" s="13">
        <v>1</v>
      </c>
      <c r="G88" s="157"/>
      <c r="H88" s="13"/>
      <c r="I88" s="13"/>
      <c r="J88" s="13">
        <f t="shared" si="20"/>
        <v>0</v>
      </c>
      <c r="K88" s="13">
        <v>0</v>
      </c>
      <c r="L88" s="13">
        <f t="shared" si="21"/>
        <v>0</v>
      </c>
      <c r="N88" s="23" t="s">
        <v>11</v>
      </c>
      <c r="O88" s="13">
        <f t="shared" si="22"/>
        <v>0</v>
      </c>
      <c r="Z88" s="13">
        <f t="shared" si="23"/>
        <v>0</v>
      </c>
      <c r="AA88" s="13">
        <f t="shared" si="24"/>
        <v>0</v>
      </c>
      <c r="AB88" s="13">
        <f t="shared" si="25"/>
        <v>0</v>
      </c>
      <c r="AD88" s="24">
        <v>21</v>
      </c>
      <c r="AE88" s="24">
        <f>G88*0</f>
        <v>0</v>
      </c>
      <c r="AF88" s="24">
        <f>G88*(1-0)</f>
        <v>0</v>
      </c>
    </row>
    <row r="89" spans="1:37">
      <c r="A89" s="4"/>
      <c r="B89" s="4"/>
      <c r="C89" s="114" t="s">
        <v>315</v>
      </c>
      <c r="D89" s="135" t="s">
        <v>604</v>
      </c>
      <c r="E89" s="136"/>
      <c r="F89" s="136"/>
      <c r="G89" s="155"/>
      <c r="H89" s="26"/>
      <c r="I89" s="26"/>
      <c r="J89" s="26"/>
      <c r="K89" s="19"/>
      <c r="L89" s="26">
        <f>SUM(L90:L94)</f>
        <v>4.727E-2</v>
      </c>
      <c r="P89" s="26">
        <f>IF(Q89="PR",J89,SUM(O90:O94))</f>
        <v>0</v>
      </c>
      <c r="Q89" s="19" t="s">
        <v>953</v>
      </c>
      <c r="R89" s="26">
        <f>IF(Q89="HS",H89,0)</f>
        <v>0</v>
      </c>
      <c r="S89" s="26">
        <f>IF(Q89="HS",I89-P89,0)</f>
        <v>0</v>
      </c>
      <c r="T89" s="26">
        <f>IF(Q89="PS",H89,0)</f>
        <v>0</v>
      </c>
      <c r="U89" s="26">
        <f>IF(Q89="PS",I89-P89,0)</f>
        <v>0</v>
      </c>
      <c r="V89" s="26">
        <f>IF(Q89="MP",H89,0)</f>
        <v>0</v>
      </c>
      <c r="W89" s="26">
        <f>IF(Q89="MP",I89-P89,0)</f>
        <v>0</v>
      </c>
      <c r="X89" s="26">
        <f>IF(Q89="OM",H89,0)</f>
        <v>0</v>
      </c>
      <c r="Y89" s="19" t="s">
        <v>308</v>
      </c>
      <c r="AI89" s="26">
        <f>SUM(Z90:Z94)</f>
        <v>0</v>
      </c>
      <c r="AJ89" s="26">
        <f>SUM(AA90:AA94)</f>
        <v>0</v>
      </c>
      <c r="AK89" s="26">
        <f>SUM(AB90:AB94)</f>
        <v>0</v>
      </c>
    </row>
    <row r="90" spans="1:37">
      <c r="A90" s="5" t="s">
        <v>76</v>
      </c>
      <c r="B90" s="5" t="s">
        <v>308</v>
      </c>
      <c r="C90" s="5" t="s">
        <v>378</v>
      </c>
      <c r="D90" s="5" t="s">
        <v>670</v>
      </c>
      <c r="E90" s="5" t="s">
        <v>921</v>
      </c>
      <c r="F90" s="12">
        <v>2</v>
      </c>
      <c r="G90" s="156"/>
      <c r="H90" s="12"/>
      <c r="I90" s="12"/>
      <c r="J90" s="12">
        <f>ROUND(F90*G90,2)</f>
        <v>0</v>
      </c>
      <c r="K90" s="12">
        <v>0</v>
      </c>
      <c r="L90" s="12">
        <f>F90*K90</f>
        <v>0</v>
      </c>
      <c r="N90" s="22" t="s">
        <v>950</v>
      </c>
      <c r="O90" s="12">
        <f>IF(N90="5",I90,0)</f>
        <v>0</v>
      </c>
      <c r="Z90" s="12">
        <f>IF(AD90=0,J90,0)</f>
        <v>0</v>
      </c>
      <c r="AA90" s="12">
        <f>IF(AD90=15,J90,0)</f>
        <v>0</v>
      </c>
      <c r="AB90" s="12">
        <f>IF(AD90=21,J90,0)</f>
        <v>0</v>
      </c>
      <c r="AD90" s="24">
        <v>21</v>
      </c>
      <c r="AE90" s="24">
        <f>G90*1</f>
        <v>0</v>
      </c>
      <c r="AF90" s="24">
        <f>G90*(1-1)</f>
        <v>0</v>
      </c>
    </row>
    <row r="91" spans="1:37">
      <c r="A91" s="5" t="s">
        <v>77</v>
      </c>
      <c r="B91" s="5" t="s">
        <v>308</v>
      </c>
      <c r="C91" s="5" t="s">
        <v>379</v>
      </c>
      <c r="D91" s="5" t="s">
        <v>671</v>
      </c>
      <c r="E91" s="5" t="s">
        <v>919</v>
      </c>
      <c r="F91" s="12">
        <v>1</v>
      </c>
      <c r="G91" s="156"/>
      <c r="H91" s="12"/>
      <c r="I91" s="12"/>
      <c r="J91" s="12">
        <f>ROUND(F91*G91,2)</f>
        <v>0</v>
      </c>
      <c r="K91" s="12">
        <v>0</v>
      </c>
      <c r="L91" s="12">
        <f>F91*K91</f>
        <v>0</v>
      </c>
      <c r="N91" s="22" t="s">
        <v>950</v>
      </c>
      <c r="O91" s="12">
        <f>IF(N91="5",I91,0)</f>
        <v>0</v>
      </c>
      <c r="Z91" s="12">
        <f>IF(AD91=0,J91,0)</f>
        <v>0</v>
      </c>
      <c r="AA91" s="12">
        <f>IF(AD91=15,J91,0)</f>
        <v>0</v>
      </c>
      <c r="AB91" s="12">
        <f>IF(AD91=21,J91,0)</f>
        <v>0</v>
      </c>
      <c r="AD91" s="24">
        <v>21</v>
      </c>
      <c r="AE91" s="24">
        <f>G91*1</f>
        <v>0</v>
      </c>
      <c r="AF91" s="24">
        <f>G91*(1-1)</f>
        <v>0</v>
      </c>
    </row>
    <row r="92" spans="1:37">
      <c r="A92" s="6" t="s">
        <v>78</v>
      </c>
      <c r="B92" s="6" t="s">
        <v>308</v>
      </c>
      <c r="C92" s="6" t="s">
        <v>380</v>
      </c>
      <c r="D92" s="6" t="s">
        <v>672</v>
      </c>
      <c r="E92" s="6" t="s">
        <v>920</v>
      </c>
      <c r="F92" s="13">
        <v>1</v>
      </c>
      <c r="G92" s="157"/>
      <c r="H92" s="13"/>
      <c r="I92" s="13"/>
      <c r="J92" s="13">
        <f>ROUND(F92*G92,2)</f>
        <v>0</v>
      </c>
      <c r="K92" s="13">
        <v>4.727E-2</v>
      </c>
      <c r="L92" s="13">
        <f>F92*K92</f>
        <v>4.727E-2</v>
      </c>
      <c r="N92" s="23" t="s">
        <v>7</v>
      </c>
      <c r="O92" s="13">
        <f>IF(N92="5",I92,0)</f>
        <v>0</v>
      </c>
      <c r="Z92" s="13">
        <f>IF(AD92=0,J92,0)</f>
        <v>0</v>
      </c>
      <c r="AA92" s="13">
        <f>IF(AD92=15,J92,0)</f>
        <v>0</v>
      </c>
      <c r="AB92" s="13">
        <f>IF(AD92=21,J92,0)</f>
        <v>0</v>
      </c>
      <c r="AD92" s="24">
        <v>21</v>
      </c>
      <c r="AE92" s="24">
        <f>G92*0.133072629324333</f>
        <v>0</v>
      </c>
      <c r="AF92" s="24">
        <f>G92*(1-0.133072629324333)</f>
        <v>0</v>
      </c>
    </row>
    <row r="93" spans="1:37">
      <c r="A93" s="6" t="s">
        <v>79</v>
      </c>
      <c r="B93" s="6" t="s">
        <v>308</v>
      </c>
      <c r="C93" s="6" t="s">
        <v>381</v>
      </c>
      <c r="D93" s="6" t="s">
        <v>673</v>
      </c>
      <c r="E93" s="6" t="s">
        <v>920</v>
      </c>
      <c r="F93" s="13">
        <v>2</v>
      </c>
      <c r="G93" s="157"/>
      <c r="H93" s="13"/>
      <c r="I93" s="13"/>
      <c r="J93" s="13">
        <f>ROUND(F93*G93,2)</f>
        <v>0</v>
      </c>
      <c r="K93" s="13">
        <v>0</v>
      </c>
      <c r="L93" s="13">
        <f>F93*K93</f>
        <v>0</v>
      </c>
      <c r="N93" s="23" t="s">
        <v>7</v>
      </c>
      <c r="O93" s="13">
        <f>IF(N93="5",I93,0)</f>
        <v>0</v>
      </c>
      <c r="Z93" s="13">
        <f>IF(AD93=0,J93,0)</f>
        <v>0</v>
      </c>
      <c r="AA93" s="13">
        <f>IF(AD93=15,J93,0)</f>
        <v>0</v>
      </c>
      <c r="AB93" s="13">
        <f>IF(AD93=21,J93,0)</f>
        <v>0</v>
      </c>
      <c r="AD93" s="24">
        <v>21</v>
      </c>
      <c r="AE93" s="24">
        <f>G93*0.722474201698578</f>
        <v>0</v>
      </c>
      <c r="AF93" s="24">
        <f>G93*(1-0.722474201698578)</f>
        <v>0</v>
      </c>
    </row>
    <row r="94" spans="1:37">
      <c r="A94" s="6" t="s">
        <v>80</v>
      </c>
      <c r="B94" s="6" t="s">
        <v>308</v>
      </c>
      <c r="C94" s="6" t="s">
        <v>320</v>
      </c>
      <c r="D94" s="6" t="s">
        <v>609</v>
      </c>
      <c r="E94" s="6" t="s">
        <v>919</v>
      </c>
      <c r="F94" s="13">
        <v>1</v>
      </c>
      <c r="G94" s="157"/>
      <c r="H94" s="13"/>
      <c r="I94" s="13"/>
      <c r="J94" s="13">
        <f>ROUND(F94*G94,2)</f>
        <v>0</v>
      </c>
      <c r="K94" s="13">
        <v>0</v>
      </c>
      <c r="L94" s="13">
        <f>F94*K94</f>
        <v>0</v>
      </c>
      <c r="N94" s="23" t="s">
        <v>11</v>
      </c>
      <c r="O94" s="13">
        <f>IF(N94="5",I94,0)</f>
        <v>0</v>
      </c>
      <c r="Z94" s="13">
        <f>IF(AD94=0,J94,0)</f>
        <v>0</v>
      </c>
      <c r="AA94" s="13">
        <f>IF(AD94=15,J94,0)</f>
        <v>0</v>
      </c>
      <c r="AB94" s="13">
        <f>IF(AD94=21,J94,0)</f>
        <v>0</v>
      </c>
      <c r="AD94" s="24">
        <v>21</v>
      </c>
      <c r="AE94" s="24">
        <f>G94*0</f>
        <v>0</v>
      </c>
      <c r="AF94" s="24">
        <f>G94*(1-0)</f>
        <v>0</v>
      </c>
    </row>
    <row r="95" spans="1:37">
      <c r="A95" s="4"/>
      <c r="B95" s="4"/>
      <c r="C95" s="114"/>
      <c r="D95" s="135" t="s">
        <v>674</v>
      </c>
      <c r="E95" s="136"/>
      <c r="F95" s="136"/>
      <c r="G95" s="155"/>
      <c r="H95" s="26"/>
      <c r="I95" s="26"/>
      <c r="J95" s="26"/>
      <c r="K95" s="19"/>
      <c r="L95" s="26">
        <f>L96+L114</f>
        <v>1.9559999999999998E-2</v>
      </c>
    </row>
    <row r="96" spans="1:37">
      <c r="A96" s="4"/>
      <c r="B96" s="4"/>
      <c r="C96" s="114" t="s">
        <v>365</v>
      </c>
      <c r="D96" s="135" t="s">
        <v>657</v>
      </c>
      <c r="E96" s="136"/>
      <c r="F96" s="136"/>
      <c r="G96" s="155"/>
      <c r="H96" s="26"/>
      <c r="I96" s="26"/>
      <c r="J96" s="26"/>
      <c r="K96" s="19"/>
      <c r="L96" s="26">
        <f>SUM(L97:L113)</f>
        <v>1.9029999999999998E-2</v>
      </c>
      <c r="P96" s="26">
        <f>IF(Q96="PR",J96,SUM(O97:O113))</f>
        <v>0</v>
      </c>
      <c r="Q96" s="19" t="s">
        <v>953</v>
      </c>
      <c r="R96" s="26">
        <f>IF(Q96="HS",H96,0)</f>
        <v>0</v>
      </c>
      <c r="S96" s="26">
        <f>IF(Q96="HS",I96-P96,0)</f>
        <v>0</v>
      </c>
      <c r="T96" s="26">
        <f>IF(Q96="PS",H96,0)</f>
        <v>0</v>
      </c>
      <c r="U96" s="26">
        <f>IF(Q96="PS",I96-P96,0)</f>
        <v>0</v>
      </c>
      <c r="V96" s="26">
        <f>IF(Q96="MP",H96,0)</f>
        <v>0</v>
      </c>
      <c r="W96" s="26">
        <f>IF(Q96="MP",I96-P96,0)</f>
        <v>0</v>
      </c>
      <c r="X96" s="26">
        <f>IF(Q96="OM",H96,0)</f>
        <v>0</v>
      </c>
      <c r="Y96" s="19" t="s">
        <v>309</v>
      </c>
      <c r="AI96" s="26">
        <f>SUM(Z97:Z113)</f>
        <v>0</v>
      </c>
      <c r="AJ96" s="26">
        <f>SUM(AA97:AA113)</f>
        <v>0</v>
      </c>
      <c r="AK96" s="26">
        <f>SUM(AB97:AB113)</f>
        <v>0</v>
      </c>
    </row>
    <row r="97" spans="1:32">
      <c r="A97" s="5" t="s">
        <v>81</v>
      </c>
      <c r="B97" s="5" t="s">
        <v>309</v>
      </c>
      <c r="C97" s="5" t="s">
        <v>382</v>
      </c>
      <c r="D97" s="5" t="s">
        <v>675</v>
      </c>
      <c r="E97" s="5" t="s">
        <v>921</v>
      </c>
      <c r="F97" s="12">
        <v>1</v>
      </c>
      <c r="G97" s="156"/>
      <c r="H97" s="12"/>
      <c r="I97" s="12"/>
      <c r="J97" s="12">
        <f t="shared" ref="J97:J113" si="28">ROUND(F97*G97,2)</f>
        <v>0</v>
      </c>
      <c r="K97" s="12">
        <v>2E-3</v>
      </c>
      <c r="L97" s="12">
        <f t="shared" ref="L97:L113" si="29">F97*K97</f>
        <v>2E-3</v>
      </c>
      <c r="N97" s="22" t="s">
        <v>950</v>
      </c>
      <c r="O97" s="12">
        <f t="shared" ref="O97:O113" si="30">IF(N97="5",I97,0)</f>
        <v>0</v>
      </c>
      <c r="Z97" s="12">
        <f t="shared" ref="Z97:Z113" si="31">IF(AD97=0,J97,0)</f>
        <v>0</v>
      </c>
      <c r="AA97" s="12">
        <f t="shared" ref="AA97:AA113" si="32">IF(AD97=15,J97,0)</f>
        <v>0</v>
      </c>
      <c r="AB97" s="12">
        <f t="shared" ref="AB97:AB113" si="33">IF(AD97=21,J97,0)</f>
        <v>0</v>
      </c>
      <c r="AD97" s="24">
        <v>21</v>
      </c>
      <c r="AE97" s="24">
        <f>G97*1</f>
        <v>0</v>
      </c>
      <c r="AF97" s="24">
        <f>G97*(1-1)</f>
        <v>0</v>
      </c>
    </row>
    <row r="98" spans="1:32">
      <c r="A98" s="5" t="s">
        <v>82</v>
      </c>
      <c r="B98" s="5" t="s">
        <v>309</v>
      </c>
      <c r="C98" s="5" t="s">
        <v>354</v>
      </c>
      <c r="D98" s="5" t="s">
        <v>646</v>
      </c>
      <c r="E98" s="5" t="s">
        <v>923</v>
      </c>
      <c r="F98" s="12">
        <v>1</v>
      </c>
      <c r="G98" s="156"/>
      <c r="H98" s="12"/>
      <c r="I98" s="12"/>
      <c r="J98" s="12">
        <f t="shared" si="28"/>
        <v>0</v>
      </c>
      <c r="K98" s="12">
        <v>0</v>
      </c>
      <c r="L98" s="12">
        <f t="shared" si="29"/>
        <v>0</v>
      </c>
      <c r="N98" s="22" t="s">
        <v>950</v>
      </c>
      <c r="O98" s="12">
        <f t="shared" si="30"/>
        <v>0</v>
      </c>
      <c r="Z98" s="12">
        <f t="shared" si="31"/>
        <v>0</v>
      </c>
      <c r="AA98" s="12">
        <f t="shared" si="32"/>
        <v>0</v>
      </c>
      <c r="AB98" s="12">
        <f t="shared" si="33"/>
        <v>0</v>
      </c>
      <c r="AD98" s="24">
        <v>21</v>
      </c>
      <c r="AE98" s="24">
        <f>G98*1</f>
        <v>0</v>
      </c>
      <c r="AF98" s="24">
        <f>G98*(1-1)</f>
        <v>0</v>
      </c>
    </row>
    <row r="99" spans="1:32">
      <c r="A99" s="5" t="s">
        <v>83</v>
      </c>
      <c r="B99" s="5" t="s">
        <v>309</v>
      </c>
      <c r="C99" s="5" t="s">
        <v>370</v>
      </c>
      <c r="D99" s="5" t="s">
        <v>662</v>
      </c>
      <c r="E99" s="5" t="s">
        <v>923</v>
      </c>
      <c r="F99" s="12">
        <v>3</v>
      </c>
      <c r="G99" s="156"/>
      <c r="H99" s="12"/>
      <c r="I99" s="12"/>
      <c r="J99" s="12">
        <f t="shared" si="28"/>
        <v>0</v>
      </c>
      <c r="K99" s="12">
        <v>0</v>
      </c>
      <c r="L99" s="12">
        <f t="shared" si="29"/>
        <v>0</v>
      </c>
      <c r="N99" s="22" t="s">
        <v>950</v>
      </c>
      <c r="O99" s="12">
        <f t="shared" si="30"/>
        <v>0</v>
      </c>
      <c r="Z99" s="12">
        <f t="shared" si="31"/>
        <v>0</v>
      </c>
      <c r="AA99" s="12">
        <f t="shared" si="32"/>
        <v>0</v>
      </c>
      <c r="AB99" s="12">
        <f t="shared" si="33"/>
        <v>0</v>
      </c>
      <c r="AD99" s="24">
        <v>21</v>
      </c>
      <c r="AE99" s="24">
        <f>G99*1</f>
        <v>0</v>
      </c>
      <c r="AF99" s="24">
        <f>G99*(1-1)</f>
        <v>0</v>
      </c>
    </row>
    <row r="100" spans="1:32">
      <c r="A100" s="5" t="s">
        <v>84</v>
      </c>
      <c r="B100" s="5" t="s">
        <v>309</v>
      </c>
      <c r="C100" s="5" t="s">
        <v>383</v>
      </c>
      <c r="D100" s="5" t="s">
        <v>676</v>
      </c>
      <c r="E100" s="5" t="s">
        <v>923</v>
      </c>
      <c r="F100" s="12">
        <v>5</v>
      </c>
      <c r="G100" s="156"/>
      <c r="H100" s="12"/>
      <c r="I100" s="12"/>
      <c r="J100" s="12">
        <f t="shared" si="28"/>
        <v>0</v>
      </c>
      <c r="K100" s="12">
        <v>0</v>
      </c>
      <c r="L100" s="12">
        <f t="shared" si="29"/>
        <v>0</v>
      </c>
      <c r="N100" s="22" t="s">
        <v>950</v>
      </c>
      <c r="O100" s="12">
        <f t="shared" si="30"/>
        <v>0</v>
      </c>
      <c r="Z100" s="12">
        <f t="shared" si="31"/>
        <v>0</v>
      </c>
      <c r="AA100" s="12">
        <f t="shared" si="32"/>
        <v>0</v>
      </c>
      <c r="AB100" s="12">
        <f t="shared" si="33"/>
        <v>0</v>
      </c>
      <c r="AD100" s="24">
        <v>21</v>
      </c>
      <c r="AE100" s="24">
        <f>G100*1</f>
        <v>0</v>
      </c>
      <c r="AF100" s="24">
        <f>G100*(1-1)</f>
        <v>0</v>
      </c>
    </row>
    <row r="101" spans="1:32">
      <c r="A101" s="5" t="s">
        <v>85</v>
      </c>
      <c r="B101" s="5" t="s">
        <v>309</v>
      </c>
      <c r="C101" s="5" t="s">
        <v>384</v>
      </c>
      <c r="D101" s="5" t="s">
        <v>677</v>
      </c>
      <c r="E101" s="5" t="s">
        <v>921</v>
      </c>
      <c r="F101" s="12">
        <v>2</v>
      </c>
      <c r="G101" s="156"/>
      <c r="H101" s="12"/>
      <c r="I101" s="12"/>
      <c r="J101" s="12">
        <f t="shared" si="28"/>
        <v>0</v>
      </c>
      <c r="K101" s="12">
        <v>8.0000000000000007E-5</v>
      </c>
      <c r="L101" s="12">
        <f t="shared" si="29"/>
        <v>1.6000000000000001E-4</v>
      </c>
      <c r="N101" s="22" t="s">
        <v>950</v>
      </c>
      <c r="O101" s="12">
        <f t="shared" si="30"/>
        <v>0</v>
      </c>
      <c r="Z101" s="12">
        <f t="shared" si="31"/>
        <v>0</v>
      </c>
      <c r="AA101" s="12">
        <f t="shared" si="32"/>
        <v>0</v>
      </c>
      <c r="AB101" s="12">
        <f t="shared" si="33"/>
        <v>0</v>
      </c>
      <c r="AD101" s="24">
        <v>21</v>
      </c>
      <c r="AE101" s="24">
        <f>G101*1</f>
        <v>0</v>
      </c>
      <c r="AF101" s="24">
        <f>G101*(1-1)</f>
        <v>0</v>
      </c>
    </row>
    <row r="102" spans="1:32">
      <c r="A102" s="6" t="s">
        <v>86</v>
      </c>
      <c r="B102" s="6" t="s">
        <v>309</v>
      </c>
      <c r="C102" s="6" t="s">
        <v>385</v>
      </c>
      <c r="D102" s="6" t="s">
        <v>678</v>
      </c>
      <c r="E102" s="6" t="s">
        <v>921</v>
      </c>
      <c r="F102" s="13">
        <v>1</v>
      </c>
      <c r="G102" s="157"/>
      <c r="H102" s="13"/>
      <c r="I102" s="13"/>
      <c r="J102" s="13">
        <f t="shared" si="28"/>
        <v>0</v>
      </c>
      <c r="K102" s="13">
        <v>1.23E-3</v>
      </c>
      <c r="L102" s="13">
        <f t="shared" si="29"/>
        <v>1.23E-3</v>
      </c>
      <c r="N102" s="23" t="s">
        <v>7</v>
      </c>
      <c r="O102" s="13">
        <f t="shared" si="30"/>
        <v>0</v>
      </c>
      <c r="Z102" s="13">
        <f t="shared" si="31"/>
        <v>0</v>
      </c>
      <c r="AA102" s="13">
        <f t="shared" si="32"/>
        <v>0</v>
      </c>
      <c r="AB102" s="13">
        <f t="shared" si="33"/>
        <v>0</v>
      </c>
      <c r="AD102" s="24">
        <v>21</v>
      </c>
      <c r="AE102" s="24">
        <f>G102*0</f>
        <v>0</v>
      </c>
      <c r="AF102" s="24">
        <f>G102*(1-0)</f>
        <v>0</v>
      </c>
    </row>
    <row r="103" spans="1:32">
      <c r="A103" s="6" t="s">
        <v>87</v>
      </c>
      <c r="B103" s="6" t="s">
        <v>309</v>
      </c>
      <c r="C103" s="6" t="s">
        <v>386</v>
      </c>
      <c r="D103" s="6" t="s">
        <v>679</v>
      </c>
      <c r="E103" s="6" t="s">
        <v>921</v>
      </c>
      <c r="F103" s="13">
        <v>2</v>
      </c>
      <c r="G103" s="157"/>
      <c r="H103" s="13"/>
      <c r="I103" s="13"/>
      <c r="J103" s="13">
        <f t="shared" si="28"/>
        <v>0</v>
      </c>
      <c r="K103" s="13">
        <v>2.4000000000000001E-4</v>
      </c>
      <c r="L103" s="13">
        <f t="shared" si="29"/>
        <v>4.8000000000000001E-4</v>
      </c>
      <c r="N103" s="23" t="s">
        <v>7</v>
      </c>
      <c r="O103" s="13">
        <f t="shared" si="30"/>
        <v>0</v>
      </c>
      <c r="Z103" s="13">
        <f t="shared" si="31"/>
        <v>0</v>
      </c>
      <c r="AA103" s="13">
        <f t="shared" si="32"/>
        <v>0</v>
      </c>
      <c r="AB103" s="13">
        <f t="shared" si="33"/>
        <v>0</v>
      </c>
      <c r="AD103" s="24">
        <v>21</v>
      </c>
      <c r="AE103" s="24">
        <f>G103*0.870765432098765</f>
        <v>0</v>
      </c>
      <c r="AF103" s="24">
        <f>G103*(1-0.870765432098765)</f>
        <v>0</v>
      </c>
    </row>
    <row r="104" spans="1:32">
      <c r="A104" s="6" t="s">
        <v>88</v>
      </c>
      <c r="B104" s="6" t="s">
        <v>309</v>
      </c>
      <c r="C104" s="6" t="s">
        <v>387</v>
      </c>
      <c r="D104" s="6" t="s">
        <v>680</v>
      </c>
      <c r="E104" s="6" t="s">
        <v>921</v>
      </c>
      <c r="F104" s="13">
        <v>1</v>
      </c>
      <c r="G104" s="157"/>
      <c r="H104" s="13"/>
      <c r="I104" s="13"/>
      <c r="J104" s="13">
        <f t="shared" si="28"/>
        <v>0</v>
      </c>
      <c r="K104" s="13">
        <v>1.6000000000000001E-3</v>
      </c>
      <c r="L104" s="13">
        <f t="shared" si="29"/>
        <v>1.6000000000000001E-3</v>
      </c>
      <c r="N104" s="23" t="s">
        <v>7</v>
      </c>
      <c r="O104" s="13">
        <f t="shared" si="30"/>
        <v>0</v>
      </c>
      <c r="Z104" s="13">
        <f t="shared" si="31"/>
        <v>0</v>
      </c>
      <c r="AA104" s="13">
        <f t="shared" si="32"/>
        <v>0</v>
      </c>
      <c r="AB104" s="13">
        <f t="shared" si="33"/>
        <v>0</v>
      </c>
      <c r="AD104" s="24">
        <v>21</v>
      </c>
      <c r="AE104" s="24">
        <f>G104*0.971748917748918</f>
        <v>0</v>
      </c>
      <c r="AF104" s="24">
        <f>G104*(1-0.971748917748918)</f>
        <v>0</v>
      </c>
    </row>
    <row r="105" spans="1:32">
      <c r="A105" s="6" t="s">
        <v>89</v>
      </c>
      <c r="B105" s="6" t="s">
        <v>309</v>
      </c>
      <c r="C105" s="6" t="s">
        <v>388</v>
      </c>
      <c r="D105" s="6" t="s">
        <v>681</v>
      </c>
      <c r="E105" s="6" t="s">
        <v>921</v>
      </c>
      <c r="F105" s="13">
        <v>1</v>
      </c>
      <c r="G105" s="157"/>
      <c r="H105" s="13"/>
      <c r="I105" s="13"/>
      <c r="J105" s="13">
        <f t="shared" si="28"/>
        <v>0</v>
      </c>
      <c r="K105" s="13">
        <v>0</v>
      </c>
      <c r="L105" s="13">
        <f t="shared" si="29"/>
        <v>0</v>
      </c>
      <c r="N105" s="23" t="s">
        <v>7</v>
      </c>
      <c r="O105" s="13">
        <f t="shared" si="30"/>
        <v>0</v>
      </c>
      <c r="Z105" s="13">
        <f t="shared" si="31"/>
        <v>0</v>
      </c>
      <c r="AA105" s="13">
        <f t="shared" si="32"/>
        <v>0</v>
      </c>
      <c r="AB105" s="13">
        <f t="shared" si="33"/>
        <v>0</v>
      </c>
      <c r="AD105" s="24">
        <v>21</v>
      </c>
      <c r="AE105" s="24">
        <f>G105*0.862751540041068</f>
        <v>0</v>
      </c>
      <c r="AF105" s="24">
        <f>G105*(1-0.862751540041068)</f>
        <v>0</v>
      </c>
    </row>
    <row r="106" spans="1:32">
      <c r="A106" s="6" t="s">
        <v>90</v>
      </c>
      <c r="B106" s="6" t="s">
        <v>309</v>
      </c>
      <c r="C106" s="6" t="s">
        <v>389</v>
      </c>
      <c r="D106" s="6" t="s">
        <v>682</v>
      </c>
      <c r="E106" s="6" t="s">
        <v>921</v>
      </c>
      <c r="F106" s="13">
        <v>1</v>
      </c>
      <c r="G106" s="157"/>
      <c r="H106" s="13"/>
      <c r="I106" s="13"/>
      <c r="J106" s="13">
        <f t="shared" si="28"/>
        <v>0</v>
      </c>
      <c r="K106" s="13">
        <v>5.8E-4</v>
      </c>
      <c r="L106" s="13">
        <f t="shared" si="29"/>
        <v>5.8E-4</v>
      </c>
      <c r="N106" s="23" t="s">
        <v>7</v>
      </c>
      <c r="O106" s="13">
        <f t="shared" si="30"/>
        <v>0</v>
      </c>
      <c r="Z106" s="13">
        <f t="shared" si="31"/>
        <v>0</v>
      </c>
      <c r="AA106" s="13">
        <f t="shared" si="32"/>
        <v>0</v>
      </c>
      <c r="AB106" s="13">
        <f t="shared" si="33"/>
        <v>0</v>
      </c>
      <c r="AD106" s="24">
        <v>21</v>
      </c>
      <c r="AE106" s="24">
        <f>G106*0.772304526748971</f>
        <v>0</v>
      </c>
      <c r="AF106" s="24">
        <f>G106*(1-0.772304526748971)</f>
        <v>0</v>
      </c>
    </row>
    <row r="107" spans="1:32">
      <c r="A107" s="6" t="s">
        <v>91</v>
      </c>
      <c r="B107" s="6" t="s">
        <v>309</v>
      </c>
      <c r="C107" s="6" t="s">
        <v>374</v>
      </c>
      <c r="D107" s="6" t="s">
        <v>666</v>
      </c>
      <c r="E107" s="6" t="s">
        <v>921</v>
      </c>
      <c r="F107" s="13">
        <v>1</v>
      </c>
      <c r="G107" s="157"/>
      <c r="H107" s="13"/>
      <c r="I107" s="13"/>
      <c r="J107" s="13">
        <f t="shared" si="28"/>
        <v>0</v>
      </c>
      <c r="K107" s="13">
        <v>2.0000000000000002E-5</v>
      </c>
      <c r="L107" s="13">
        <f t="shared" si="29"/>
        <v>2.0000000000000002E-5</v>
      </c>
      <c r="N107" s="23" t="s">
        <v>7</v>
      </c>
      <c r="O107" s="13">
        <f t="shared" si="30"/>
        <v>0</v>
      </c>
      <c r="Z107" s="13">
        <f t="shared" si="31"/>
        <v>0</v>
      </c>
      <c r="AA107" s="13">
        <f t="shared" si="32"/>
        <v>0</v>
      </c>
      <c r="AB107" s="13">
        <f t="shared" si="33"/>
        <v>0</v>
      </c>
      <c r="AD107" s="24">
        <v>21</v>
      </c>
      <c r="AE107" s="24">
        <f>G107*0.0546819156540386</f>
        <v>0</v>
      </c>
      <c r="AF107" s="24">
        <f>G107*(1-0.0546819156540386)</f>
        <v>0</v>
      </c>
    </row>
    <row r="108" spans="1:32">
      <c r="A108" s="6" t="s">
        <v>92</v>
      </c>
      <c r="B108" s="6" t="s">
        <v>309</v>
      </c>
      <c r="C108" s="6" t="s">
        <v>390</v>
      </c>
      <c r="D108" s="6" t="s">
        <v>683</v>
      </c>
      <c r="E108" s="6" t="s">
        <v>921</v>
      </c>
      <c r="F108" s="13">
        <v>1</v>
      </c>
      <c r="G108" s="157"/>
      <c r="H108" s="13"/>
      <c r="I108" s="13"/>
      <c r="J108" s="13">
        <f t="shared" si="28"/>
        <v>0</v>
      </c>
      <c r="K108" s="13">
        <v>2.0000000000000002E-5</v>
      </c>
      <c r="L108" s="13">
        <f t="shared" si="29"/>
        <v>2.0000000000000002E-5</v>
      </c>
      <c r="N108" s="23" t="s">
        <v>7</v>
      </c>
      <c r="O108" s="13">
        <f t="shared" si="30"/>
        <v>0</v>
      </c>
      <c r="Z108" s="13">
        <f t="shared" si="31"/>
        <v>0</v>
      </c>
      <c r="AA108" s="13">
        <f t="shared" si="32"/>
        <v>0</v>
      </c>
      <c r="AB108" s="13">
        <f t="shared" si="33"/>
        <v>0</v>
      </c>
      <c r="AD108" s="24">
        <v>21</v>
      </c>
      <c r="AE108" s="24">
        <f>G108*0.057716612835276</f>
        <v>0</v>
      </c>
      <c r="AF108" s="24">
        <f>G108*(1-0.057716612835276)</f>
        <v>0</v>
      </c>
    </row>
    <row r="109" spans="1:32">
      <c r="A109" s="6" t="s">
        <v>93</v>
      </c>
      <c r="B109" s="6" t="s">
        <v>309</v>
      </c>
      <c r="C109" s="6" t="s">
        <v>376</v>
      </c>
      <c r="D109" s="6" t="s">
        <v>668</v>
      </c>
      <c r="E109" s="6" t="s">
        <v>921</v>
      </c>
      <c r="F109" s="13">
        <v>3</v>
      </c>
      <c r="G109" s="157"/>
      <c r="H109" s="13"/>
      <c r="I109" s="13"/>
      <c r="J109" s="13">
        <f t="shared" si="28"/>
        <v>0</v>
      </c>
      <c r="K109" s="13">
        <v>2.0000000000000002E-5</v>
      </c>
      <c r="L109" s="13">
        <f t="shared" si="29"/>
        <v>6.0000000000000008E-5</v>
      </c>
      <c r="N109" s="23" t="s">
        <v>7</v>
      </c>
      <c r="O109" s="13">
        <f t="shared" si="30"/>
        <v>0</v>
      </c>
      <c r="Z109" s="13">
        <f t="shared" si="31"/>
        <v>0</v>
      </c>
      <c r="AA109" s="13">
        <f t="shared" si="32"/>
        <v>0</v>
      </c>
      <c r="AB109" s="13">
        <f t="shared" si="33"/>
        <v>0</v>
      </c>
      <c r="AD109" s="24">
        <v>21</v>
      </c>
      <c r="AE109" s="24">
        <f>G109*0.0904149012710848</f>
        <v>0</v>
      </c>
      <c r="AF109" s="24">
        <f>G109*(1-0.0904149012710848)</f>
        <v>0</v>
      </c>
    </row>
    <row r="110" spans="1:32">
      <c r="A110" s="6" t="s">
        <v>94</v>
      </c>
      <c r="B110" s="6" t="s">
        <v>309</v>
      </c>
      <c r="C110" s="6" t="s">
        <v>391</v>
      </c>
      <c r="D110" s="6" t="s">
        <v>684</v>
      </c>
      <c r="E110" s="6" t="s">
        <v>921</v>
      </c>
      <c r="F110" s="13">
        <v>5</v>
      </c>
      <c r="G110" s="157"/>
      <c r="H110" s="13"/>
      <c r="I110" s="13"/>
      <c r="J110" s="13">
        <f t="shared" si="28"/>
        <v>0</v>
      </c>
      <c r="K110" s="13">
        <v>2.0000000000000002E-5</v>
      </c>
      <c r="L110" s="13">
        <f t="shared" si="29"/>
        <v>1E-4</v>
      </c>
      <c r="N110" s="23" t="s">
        <v>7</v>
      </c>
      <c r="O110" s="13">
        <f t="shared" si="30"/>
        <v>0</v>
      </c>
      <c r="Z110" s="13">
        <f t="shared" si="31"/>
        <v>0</v>
      </c>
      <c r="AA110" s="13">
        <f t="shared" si="32"/>
        <v>0</v>
      </c>
      <c r="AB110" s="13">
        <f t="shared" si="33"/>
        <v>0</v>
      </c>
      <c r="AD110" s="24">
        <v>21</v>
      </c>
      <c r="AE110" s="24">
        <f>G110*0.124466526530352</f>
        <v>0</v>
      </c>
      <c r="AF110" s="24">
        <f>G110*(1-0.124466526530352)</f>
        <v>0</v>
      </c>
    </row>
    <row r="111" spans="1:32">
      <c r="A111" s="6" t="s">
        <v>95</v>
      </c>
      <c r="B111" s="6" t="s">
        <v>309</v>
      </c>
      <c r="C111" s="6" t="s">
        <v>392</v>
      </c>
      <c r="D111" s="6" t="s">
        <v>685</v>
      </c>
      <c r="E111" s="6" t="s">
        <v>921</v>
      </c>
      <c r="F111" s="13">
        <v>1</v>
      </c>
      <c r="G111" s="157"/>
      <c r="H111" s="13"/>
      <c r="I111" s="13"/>
      <c r="J111" s="13">
        <f t="shared" si="28"/>
        <v>0</v>
      </c>
      <c r="K111" s="13">
        <v>7.2199999999999999E-3</v>
      </c>
      <c r="L111" s="13">
        <f t="shared" si="29"/>
        <v>7.2199999999999999E-3</v>
      </c>
      <c r="N111" s="23" t="s">
        <v>7</v>
      </c>
      <c r="O111" s="13">
        <f t="shared" si="30"/>
        <v>0</v>
      </c>
      <c r="Z111" s="13">
        <f t="shared" si="31"/>
        <v>0</v>
      </c>
      <c r="AA111" s="13">
        <f t="shared" si="32"/>
        <v>0</v>
      </c>
      <c r="AB111" s="13">
        <f t="shared" si="33"/>
        <v>0</v>
      </c>
      <c r="AD111" s="24">
        <v>21</v>
      </c>
      <c r="AE111" s="24">
        <f>G111*0</f>
        <v>0</v>
      </c>
      <c r="AF111" s="24">
        <f>G111*(1-0)</f>
        <v>0</v>
      </c>
    </row>
    <row r="112" spans="1:32">
      <c r="A112" s="6" t="s">
        <v>96</v>
      </c>
      <c r="B112" s="6" t="s">
        <v>309</v>
      </c>
      <c r="C112" s="6" t="s">
        <v>393</v>
      </c>
      <c r="D112" s="6" t="s">
        <v>686</v>
      </c>
      <c r="E112" s="6" t="s">
        <v>921</v>
      </c>
      <c r="F112" s="13">
        <v>2</v>
      </c>
      <c r="G112" s="157"/>
      <c r="H112" s="13"/>
      <c r="I112" s="13"/>
      <c r="J112" s="13">
        <f t="shared" si="28"/>
        <v>0</v>
      </c>
      <c r="K112" s="13">
        <v>2.7799999999999999E-3</v>
      </c>
      <c r="L112" s="13">
        <f t="shared" si="29"/>
        <v>5.5599999999999998E-3</v>
      </c>
      <c r="N112" s="23" t="s">
        <v>7</v>
      </c>
      <c r="O112" s="13">
        <f t="shared" si="30"/>
        <v>0</v>
      </c>
      <c r="Z112" s="13">
        <f t="shared" si="31"/>
        <v>0</v>
      </c>
      <c r="AA112" s="13">
        <f t="shared" si="32"/>
        <v>0</v>
      </c>
      <c r="AB112" s="13">
        <f t="shared" si="33"/>
        <v>0</v>
      </c>
      <c r="AD112" s="24">
        <v>21</v>
      </c>
      <c r="AE112" s="24">
        <f>G112*0.539981152490315</f>
        <v>0</v>
      </c>
      <c r="AF112" s="24">
        <f>G112*(1-0.539981152490315)</f>
        <v>0</v>
      </c>
    </row>
    <row r="113" spans="1:37">
      <c r="A113" s="6" t="s">
        <v>97</v>
      </c>
      <c r="B113" s="6" t="s">
        <v>309</v>
      </c>
      <c r="C113" s="6" t="s">
        <v>377</v>
      </c>
      <c r="D113" s="6" t="s">
        <v>669</v>
      </c>
      <c r="E113" s="6" t="s">
        <v>919</v>
      </c>
      <c r="F113" s="13">
        <v>1</v>
      </c>
      <c r="G113" s="157"/>
      <c r="H113" s="13"/>
      <c r="I113" s="13"/>
      <c r="J113" s="13">
        <f t="shared" si="28"/>
        <v>0</v>
      </c>
      <c r="K113" s="13">
        <v>0</v>
      </c>
      <c r="L113" s="13">
        <f t="shared" si="29"/>
        <v>0</v>
      </c>
      <c r="N113" s="23" t="s">
        <v>11</v>
      </c>
      <c r="O113" s="13">
        <f t="shared" si="30"/>
        <v>0</v>
      </c>
      <c r="Z113" s="13">
        <f t="shared" si="31"/>
        <v>0</v>
      </c>
      <c r="AA113" s="13">
        <f t="shared" si="32"/>
        <v>0</v>
      </c>
      <c r="AB113" s="13">
        <f t="shared" si="33"/>
        <v>0</v>
      </c>
      <c r="AD113" s="24">
        <v>21</v>
      </c>
      <c r="AE113" s="24">
        <f>G113*0</f>
        <v>0</v>
      </c>
      <c r="AF113" s="24">
        <f>G113*(1-0)</f>
        <v>0</v>
      </c>
    </row>
    <row r="114" spans="1:37">
      <c r="A114" s="4"/>
      <c r="B114" s="4"/>
      <c r="C114" s="114" t="s">
        <v>315</v>
      </c>
      <c r="D114" s="135" t="s">
        <v>604</v>
      </c>
      <c r="E114" s="136"/>
      <c r="F114" s="136"/>
      <c r="G114" s="155"/>
      <c r="H114" s="26"/>
      <c r="I114" s="26"/>
      <c r="J114" s="26"/>
      <c r="K114" s="19"/>
      <c r="L114" s="26">
        <f>SUM(L115:L117)</f>
        <v>5.2999999999999998E-4</v>
      </c>
      <c r="P114" s="26">
        <f>IF(Q114="PR",J114,SUM(O115:O117))</f>
        <v>0</v>
      </c>
      <c r="Q114" s="19" t="s">
        <v>953</v>
      </c>
      <c r="R114" s="26">
        <f>IF(Q114="HS",H114,0)</f>
        <v>0</v>
      </c>
      <c r="S114" s="26">
        <f>IF(Q114="HS",I114-P114,0)</f>
        <v>0</v>
      </c>
      <c r="T114" s="26">
        <f>IF(Q114="PS",H114,0)</f>
        <v>0</v>
      </c>
      <c r="U114" s="26">
        <f>IF(Q114="PS",I114-P114,0)</f>
        <v>0</v>
      </c>
      <c r="V114" s="26">
        <f>IF(Q114="MP",H114,0)</f>
        <v>0</v>
      </c>
      <c r="W114" s="26">
        <f>IF(Q114="MP",I114-P114,0)</f>
        <v>0</v>
      </c>
      <c r="X114" s="26">
        <f>IF(Q114="OM",H114,0)</f>
        <v>0</v>
      </c>
      <c r="Y114" s="19" t="s">
        <v>309</v>
      </c>
      <c r="AI114" s="26">
        <f>SUM(Z115:Z117)</f>
        <v>0</v>
      </c>
      <c r="AJ114" s="26">
        <f>SUM(AA115:AA117)</f>
        <v>0</v>
      </c>
      <c r="AK114" s="26">
        <f>SUM(AB115:AB117)</f>
        <v>0</v>
      </c>
    </row>
    <row r="115" spans="1:37">
      <c r="A115" s="5" t="s">
        <v>98</v>
      </c>
      <c r="B115" s="5" t="s">
        <v>309</v>
      </c>
      <c r="C115" s="5" t="s">
        <v>394</v>
      </c>
      <c r="D115" s="5" t="s">
        <v>687</v>
      </c>
      <c r="E115" s="5" t="s">
        <v>919</v>
      </c>
      <c r="F115" s="12">
        <v>1</v>
      </c>
      <c r="G115" s="156"/>
      <c r="H115" s="12"/>
      <c r="I115" s="12"/>
      <c r="J115" s="12">
        <f>ROUND(F115*G115,2)</f>
        <v>0</v>
      </c>
      <c r="K115" s="12">
        <v>0</v>
      </c>
      <c r="L115" s="12">
        <f>F115*K115</f>
        <v>0</v>
      </c>
      <c r="N115" s="22" t="s">
        <v>950</v>
      </c>
      <c r="O115" s="12">
        <f>IF(N115="5",I115,0)</f>
        <v>0</v>
      </c>
      <c r="Z115" s="12">
        <f>IF(AD115=0,J115,0)</f>
        <v>0</v>
      </c>
      <c r="AA115" s="12">
        <f>IF(AD115=15,J115,0)</f>
        <v>0</v>
      </c>
      <c r="AB115" s="12">
        <f>IF(AD115=21,J115,0)</f>
        <v>0</v>
      </c>
      <c r="AD115" s="24">
        <v>21</v>
      </c>
      <c r="AE115" s="24">
        <f>G115*1</f>
        <v>0</v>
      </c>
      <c r="AF115" s="24">
        <f>G115*(1-1)</f>
        <v>0</v>
      </c>
    </row>
    <row r="116" spans="1:37">
      <c r="A116" s="6" t="s">
        <v>99</v>
      </c>
      <c r="B116" s="6" t="s">
        <v>309</v>
      </c>
      <c r="C116" s="6" t="s">
        <v>395</v>
      </c>
      <c r="D116" s="6" t="s">
        <v>688</v>
      </c>
      <c r="E116" s="6" t="s">
        <v>920</v>
      </c>
      <c r="F116" s="13">
        <v>1</v>
      </c>
      <c r="G116" s="157"/>
      <c r="H116" s="13"/>
      <c r="I116" s="13"/>
      <c r="J116" s="13">
        <f>ROUND(F116*G116,2)</f>
        <v>0</v>
      </c>
      <c r="K116" s="13">
        <v>5.2999999999999998E-4</v>
      </c>
      <c r="L116" s="13">
        <f>F116*K116</f>
        <v>5.2999999999999998E-4</v>
      </c>
      <c r="N116" s="23" t="s">
        <v>7</v>
      </c>
      <c r="O116" s="13">
        <f>IF(N116="5",I116,0)</f>
        <v>0</v>
      </c>
      <c r="Z116" s="13">
        <f>IF(AD116=0,J116,0)</f>
        <v>0</v>
      </c>
      <c r="AA116" s="13">
        <f>IF(AD116=15,J116,0)</f>
        <v>0</v>
      </c>
      <c r="AB116" s="13">
        <f>IF(AD116=21,J116,0)</f>
        <v>0</v>
      </c>
      <c r="AD116" s="24">
        <v>21</v>
      </c>
      <c r="AE116" s="24">
        <f>G116*0.533609467455621</f>
        <v>0</v>
      </c>
      <c r="AF116" s="24">
        <f>G116*(1-0.533609467455621)</f>
        <v>0</v>
      </c>
    </row>
    <row r="117" spans="1:37">
      <c r="A117" s="6" t="s">
        <v>100</v>
      </c>
      <c r="B117" s="6" t="s">
        <v>309</v>
      </c>
      <c r="C117" s="6" t="s">
        <v>320</v>
      </c>
      <c r="D117" s="6" t="s">
        <v>609</v>
      </c>
      <c r="E117" s="6" t="s">
        <v>919</v>
      </c>
      <c r="F117" s="13">
        <v>1</v>
      </c>
      <c r="G117" s="157"/>
      <c r="H117" s="13"/>
      <c r="I117" s="13"/>
      <c r="J117" s="13">
        <f>ROUND(F117*G117,2)</f>
        <v>0</v>
      </c>
      <c r="K117" s="13">
        <v>0</v>
      </c>
      <c r="L117" s="13">
        <f>F117*K117</f>
        <v>0</v>
      </c>
      <c r="N117" s="23" t="s">
        <v>11</v>
      </c>
      <c r="O117" s="13">
        <f>IF(N117="5",I117,0)</f>
        <v>0</v>
      </c>
      <c r="Z117" s="13">
        <f>IF(AD117=0,J117,0)</f>
        <v>0</v>
      </c>
      <c r="AA117" s="13">
        <f>IF(AD117=15,J117,0)</f>
        <v>0</v>
      </c>
      <c r="AB117" s="13">
        <f>IF(AD117=21,J117,0)</f>
        <v>0</v>
      </c>
      <c r="AD117" s="24">
        <v>21</v>
      </c>
      <c r="AE117" s="24">
        <f>G117*0</f>
        <v>0</v>
      </c>
      <c r="AF117" s="24">
        <f>G117*(1-0)</f>
        <v>0</v>
      </c>
    </row>
    <row r="118" spans="1:37">
      <c r="A118" s="4"/>
      <c r="B118" s="4"/>
      <c r="C118" s="114"/>
      <c r="D118" s="135" t="s">
        <v>689</v>
      </c>
      <c r="E118" s="136"/>
      <c r="F118" s="136"/>
      <c r="G118" s="155"/>
      <c r="H118" s="26"/>
      <c r="I118" s="26"/>
      <c r="J118" s="26"/>
      <c r="K118" s="19"/>
      <c r="L118" s="26">
        <f>L119+L132+L152+L161+L182+L195+L202</f>
        <v>1.2097791999999998</v>
      </c>
    </row>
    <row r="119" spans="1:37">
      <c r="A119" s="4"/>
      <c r="B119" s="4"/>
      <c r="C119" s="114" t="s">
        <v>396</v>
      </c>
      <c r="D119" s="135" t="s">
        <v>690</v>
      </c>
      <c r="E119" s="136"/>
      <c r="F119" s="136"/>
      <c r="G119" s="155"/>
      <c r="H119" s="26"/>
      <c r="I119" s="26"/>
      <c r="J119" s="26"/>
      <c r="K119" s="19"/>
      <c r="L119" s="26">
        <f>SUM(L120:L131)</f>
        <v>0</v>
      </c>
      <c r="P119" s="26">
        <f>IF(Q119="PR",J119,SUM(O120:O131))</f>
        <v>0</v>
      </c>
      <c r="Q119" s="19" t="s">
        <v>953</v>
      </c>
      <c r="R119" s="26">
        <f>IF(Q119="HS",H119,0)</f>
        <v>0</v>
      </c>
      <c r="S119" s="26">
        <f>IF(Q119="HS",I119-P119,0)</f>
        <v>0</v>
      </c>
      <c r="T119" s="26">
        <f>IF(Q119="PS",H119,0)</f>
        <v>0</v>
      </c>
      <c r="U119" s="26">
        <f>IF(Q119="PS",I119-P119,0)</f>
        <v>0</v>
      </c>
      <c r="V119" s="26">
        <f>IF(Q119="MP",H119,0)</f>
        <v>0</v>
      </c>
      <c r="W119" s="26">
        <f>IF(Q119="MP",I119-P119,0)</f>
        <v>0</v>
      </c>
      <c r="X119" s="26">
        <f>IF(Q119="OM",H119,0)</f>
        <v>0</v>
      </c>
      <c r="Y119" s="19" t="s">
        <v>310</v>
      </c>
      <c r="AI119" s="26">
        <f>SUM(Z120:Z131)</f>
        <v>0</v>
      </c>
      <c r="AJ119" s="26">
        <f>SUM(AA120:AA131)</f>
        <v>0</v>
      </c>
      <c r="AK119" s="26">
        <f>SUM(AB120:AB131)</f>
        <v>0</v>
      </c>
    </row>
    <row r="120" spans="1:37">
      <c r="A120" s="6" t="s">
        <v>101</v>
      </c>
      <c r="B120" s="6" t="s">
        <v>310</v>
      </c>
      <c r="C120" s="6" t="s">
        <v>397</v>
      </c>
      <c r="D120" s="6" t="s">
        <v>691</v>
      </c>
      <c r="E120" s="6" t="s">
        <v>924</v>
      </c>
      <c r="F120" s="13">
        <v>17</v>
      </c>
      <c r="G120" s="157"/>
      <c r="H120" s="13"/>
      <c r="I120" s="13"/>
      <c r="J120" s="13">
        <f t="shared" ref="J120:J131" si="34">ROUND(F120*G120,2)</f>
        <v>0</v>
      </c>
      <c r="K120" s="13">
        <v>0</v>
      </c>
      <c r="L120" s="13">
        <f t="shared" ref="L120:L131" si="35">F120*K120</f>
        <v>0</v>
      </c>
      <c r="N120" s="23" t="s">
        <v>7</v>
      </c>
      <c r="O120" s="13">
        <f t="shared" ref="O120:O131" si="36">IF(N120="5",I120,0)</f>
        <v>0</v>
      </c>
      <c r="Z120" s="13">
        <f t="shared" ref="Z120:Z131" si="37">IF(AD120=0,J120,0)</f>
        <v>0</v>
      </c>
      <c r="AA120" s="13">
        <f t="shared" ref="AA120:AA131" si="38">IF(AD120=15,J120,0)</f>
        <v>0</v>
      </c>
      <c r="AB120" s="13">
        <f t="shared" ref="AB120:AB131" si="39">IF(AD120=21,J120,0)</f>
        <v>0</v>
      </c>
      <c r="AD120" s="24">
        <v>21</v>
      </c>
      <c r="AE120" s="24">
        <f t="shared" ref="AE120:AE126" si="40">G120*0</f>
        <v>0</v>
      </c>
      <c r="AF120" s="24">
        <f t="shared" ref="AF120:AF126" si="41">G120*(1-0)</f>
        <v>0</v>
      </c>
    </row>
    <row r="121" spans="1:37">
      <c r="A121" s="6" t="s">
        <v>102</v>
      </c>
      <c r="B121" s="6" t="s">
        <v>310</v>
      </c>
      <c r="C121" s="6" t="s">
        <v>398</v>
      </c>
      <c r="D121" s="6" t="s">
        <v>692</v>
      </c>
      <c r="E121" s="6" t="s">
        <v>924</v>
      </c>
      <c r="F121" s="13">
        <v>4</v>
      </c>
      <c r="G121" s="157"/>
      <c r="H121" s="13"/>
      <c r="I121" s="13"/>
      <c r="J121" s="13">
        <f t="shared" si="34"/>
        <v>0</v>
      </c>
      <c r="K121" s="13">
        <v>0</v>
      </c>
      <c r="L121" s="13">
        <f t="shared" si="35"/>
        <v>0</v>
      </c>
      <c r="N121" s="23" t="s">
        <v>7</v>
      </c>
      <c r="O121" s="13">
        <f t="shared" si="36"/>
        <v>0</v>
      </c>
      <c r="Z121" s="13">
        <f t="shared" si="37"/>
        <v>0</v>
      </c>
      <c r="AA121" s="13">
        <f t="shared" si="38"/>
        <v>0</v>
      </c>
      <c r="AB121" s="13">
        <f t="shared" si="39"/>
        <v>0</v>
      </c>
      <c r="AD121" s="24">
        <v>21</v>
      </c>
      <c r="AE121" s="24">
        <f t="shared" si="40"/>
        <v>0</v>
      </c>
      <c r="AF121" s="24">
        <f t="shared" si="41"/>
        <v>0</v>
      </c>
    </row>
    <row r="122" spans="1:37">
      <c r="A122" s="6" t="s">
        <v>103</v>
      </c>
      <c r="B122" s="6" t="s">
        <v>310</v>
      </c>
      <c r="C122" s="6" t="s">
        <v>399</v>
      </c>
      <c r="D122" s="6" t="s">
        <v>693</v>
      </c>
      <c r="E122" s="6" t="s">
        <v>924</v>
      </c>
      <c r="F122" s="13">
        <v>11</v>
      </c>
      <c r="G122" s="157"/>
      <c r="H122" s="13"/>
      <c r="I122" s="13"/>
      <c r="J122" s="13">
        <f t="shared" si="34"/>
        <v>0</v>
      </c>
      <c r="K122" s="13">
        <v>0</v>
      </c>
      <c r="L122" s="13">
        <f t="shared" si="35"/>
        <v>0</v>
      </c>
      <c r="N122" s="23" t="s">
        <v>7</v>
      </c>
      <c r="O122" s="13">
        <f t="shared" si="36"/>
        <v>0</v>
      </c>
      <c r="Z122" s="13">
        <f t="shared" si="37"/>
        <v>0</v>
      </c>
      <c r="AA122" s="13">
        <f t="shared" si="38"/>
        <v>0</v>
      </c>
      <c r="AB122" s="13">
        <f t="shared" si="39"/>
        <v>0</v>
      </c>
      <c r="AD122" s="24">
        <v>21</v>
      </c>
      <c r="AE122" s="24">
        <f t="shared" si="40"/>
        <v>0</v>
      </c>
      <c r="AF122" s="24">
        <f t="shared" si="41"/>
        <v>0</v>
      </c>
    </row>
    <row r="123" spans="1:37">
      <c r="A123" s="6" t="s">
        <v>104</v>
      </c>
      <c r="B123" s="6" t="s">
        <v>310</v>
      </c>
      <c r="C123" s="6" t="s">
        <v>400</v>
      </c>
      <c r="D123" s="6" t="s">
        <v>694</v>
      </c>
      <c r="E123" s="6" t="s">
        <v>924</v>
      </c>
      <c r="F123" s="13">
        <v>2</v>
      </c>
      <c r="G123" s="157"/>
      <c r="H123" s="13"/>
      <c r="I123" s="13"/>
      <c r="J123" s="13">
        <f t="shared" si="34"/>
        <v>0</v>
      </c>
      <c r="K123" s="13">
        <v>0</v>
      </c>
      <c r="L123" s="13">
        <f t="shared" si="35"/>
        <v>0</v>
      </c>
      <c r="N123" s="23" t="s">
        <v>7</v>
      </c>
      <c r="O123" s="13">
        <f t="shared" si="36"/>
        <v>0</v>
      </c>
      <c r="Z123" s="13">
        <f t="shared" si="37"/>
        <v>0</v>
      </c>
      <c r="AA123" s="13">
        <f t="shared" si="38"/>
        <v>0</v>
      </c>
      <c r="AB123" s="13">
        <f t="shared" si="39"/>
        <v>0</v>
      </c>
      <c r="AD123" s="24">
        <v>21</v>
      </c>
      <c r="AE123" s="24">
        <f t="shared" si="40"/>
        <v>0</v>
      </c>
      <c r="AF123" s="24">
        <f t="shared" si="41"/>
        <v>0</v>
      </c>
    </row>
    <row r="124" spans="1:37">
      <c r="A124" s="6" t="s">
        <v>105</v>
      </c>
      <c r="B124" s="6" t="s">
        <v>310</v>
      </c>
      <c r="C124" s="6" t="s">
        <v>401</v>
      </c>
      <c r="D124" s="6" t="s">
        <v>695</v>
      </c>
      <c r="E124" s="6" t="s">
        <v>924</v>
      </c>
      <c r="F124" s="13">
        <v>2</v>
      </c>
      <c r="G124" s="157"/>
      <c r="H124" s="13"/>
      <c r="I124" s="13"/>
      <c r="J124" s="13">
        <f t="shared" si="34"/>
        <v>0</v>
      </c>
      <c r="K124" s="13">
        <v>0</v>
      </c>
      <c r="L124" s="13">
        <f t="shared" si="35"/>
        <v>0</v>
      </c>
      <c r="N124" s="23" t="s">
        <v>7</v>
      </c>
      <c r="O124" s="13">
        <f t="shared" si="36"/>
        <v>0</v>
      </c>
      <c r="Z124" s="13">
        <f t="shared" si="37"/>
        <v>0</v>
      </c>
      <c r="AA124" s="13">
        <f t="shared" si="38"/>
        <v>0</v>
      </c>
      <c r="AB124" s="13">
        <f t="shared" si="39"/>
        <v>0</v>
      </c>
      <c r="AD124" s="24">
        <v>21</v>
      </c>
      <c r="AE124" s="24">
        <f t="shared" si="40"/>
        <v>0</v>
      </c>
      <c r="AF124" s="24">
        <f t="shared" si="41"/>
        <v>0</v>
      </c>
    </row>
    <row r="125" spans="1:37">
      <c r="A125" s="6" t="s">
        <v>106</v>
      </c>
      <c r="B125" s="6" t="s">
        <v>310</v>
      </c>
      <c r="C125" s="6" t="s">
        <v>402</v>
      </c>
      <c r="D125" s="6" t="s">
        <v>696</v>
      </c>
      <c r="E125" s="6" t="s">
        <v>924</v>
      </c>
      <c r="F125" s="13">
        <v>3</v>
      </c>
      <c r="G125" s="157"/>
      <c r="H125" s="13"/>
      <c r="I125" s="13"/>
      <c r="J125" s="13">
        <f t="shared" si="34"/>
        <v>0</v>
      </c>
      <c r="K125" s="13">
        <v>0</v>
      </c>
      <c r="L125" s="13">
        <f t="shared" si="35"/>
        <v>0</v>
      </c>
      <c r="N125" s="23" t="s">
        <v>7</v>
      </c>
      <c r="O125" s="13">
        <f t="shared" si="36"/>
        <v>0</v>
      </c>
      <c r="Z125" s="13">
        <f t="shared" si="37"/>
        <v>0</v>
      </c>
      <c r="AA125" s="13">
        <f t="shared" si="38"/>
        <v>0</v>
      </c>
      <c r="AB125" s="13">
        <f t="shared" si="39"/>
        <v>0</v>
      </c>
      <c r="AD125" s="24">
        <v>21</v>
      </c>
      <c r="AE125" s="24">
        <f t="shared" si="40"/>
        <v>0</v>
      </c>
      <c r="AF125" s="24">
        <f t="shared" si="41"/>
        <v>0</v>
      </c>
    </row>
    <row r="126" spans="1:37">
      <c r="A126" s="6" t="s">
        <v>107</v>
      </c>
      <c r="B126" s="6" t="s">
        <v>310</v>
      </c>
      <c r="C126" s="6" t="s">
        <v>403</v>
      </c>
      <c r="D126" s="6" t="s">
        <v>697</v>
      </c>
      <c r="E126" s="6" t="s">
        <v>924</v>
      </c>
      <c r="F126" s="13">
        <v>7</v>
      </c>
      <c r="G126" s="157"/>
      <c r="H126" s="13"/>
      <c r="I126" s="13"/>
      <c r="J126" s="13">
        <f t="shared" si="34"/>
        <v>0</v>
      </c>
      <c r="K126" s="13">
        <v>0</v>
      </c>
      <c r="L126" s="13">
        <f t="shared" si="35"/>
        <v>0</v>
      </c>
      <c r="N126" s="23" t="s">
        <v>7</v>
      </c>
      <c r="O126" s="13">
        <f t="shared" si="36"/>
        <v>0</v>
      </c>
      <c r="Z126" s="13">
        <f t="shared" si="37"/>
        <v>0</v>
      </c>
      <c r="AA126" s="13">
        <f t="shared" si="38"/>
        <v>0</v>
      </c>
      <c r="AB126" s="13">
        <f t="shared" si="39"/>
        <v>0</v>
      </c>
      <c r="AD126" s="24">
        <v>21</v>
      </c>
      <c r="AE126" s="24">
        <f t="shared" si="40"/>
        <v>0</v>
      </c>
      <c r="AF126" s="24">
        <f t="shared" si="41"/>
        <v>0</v>
      </c>
    </row>
    <row r="127" spans="1:37">
      <c r="A127" s="6" t="s">
        <v>108</v>
      </c>
      <c r="B127" s="6" t="s">
        <v>310</v>
      </c>
      <c r="C127" s="6" t="s">
        <v>404</v>
      </c>
      <c r="D127" s="6" t="s">
        <v>698</v>
      </c>
      <c r="E127" s="6" t="s">
        <v>924</v>
      </c>
      <c r="F127" s="13">
        <v>2</v>
      </c>
      <c r="G127" s="157"/>
      <c r="H127" s="13"/>
      <c r="I127" s="13"/>
      <c r="J127" s="13">
        <f t="shared" si="34"/>
        <v>0</v>
      </c>
      <c r="K127" s="13">
        <v>0</v>
      </c>
      <c r="L127" s="13">
        <f t="shared" si="35"/>
        <v>0</v>
      </c>
      <c r="N127" s="23" t="s">
        <v>7</v>
      </c>
      <c r="O127" s="13">
        <f t="shared" si="36"/>
        <v>0</v>
      </c>
      <c r="Z127" s="13">
        <f t="shared" si="37"/>
        <v>0</v>
      </c>
      <c r="AA127" s="13">
        <f t="shared" si="38"/>
        <v>0</v>
      </c>
      <c r="AB127" s="13">
        <f t="shared" si="39"/>
        <v>0</v>
      </c>
      <c r="AD127" s="24">
        <v>21</v>
      </c>
      <c r="AE127" s="24">
        <f>G127*0.854862119013062</f>
        <v>0</v>
      </c>
      <c r="AF127" s="24">
        <f>G127*(1-0.854862119013062)</f>
        <v>0</v>
      </c>
    </row>
    <row r="128" spans="1:37">
      <c r="A128" s="6" t="s">
        <v>109</v>
      </c>
      <c r="B128" s="6" t="s">
        <v>310</v>
      </c>
      <c r="C128" s="6" t="s">
        <v>405</v>
      </c>
      <c r="D128" s="6" t="s">
        <v>699</v>
      </c>
      <c r="E128" s="6" t="s">
        <v>924</v>
      </c>
      <c r="F128" s="13">
        <v>8</v>
      </c>
      <c r="G128" s="157"/>
      <c r="H128" s="13"/>
      <c r="I128" s="13"/>
      <c r="J128" s="13">
        <f t="shared" si="34"/>
        <v>0</v>
      </c>
      <c r="K128" s="13">
        <v>0</v>
      </c>
      <c r="L128" s="13">
        <f t="shared" si="35"/>
        <v>0</v>
      </c>
      <c r="N128" s="23" t="s">
        <v>7</v>
      </c>
      <c r="O128" s="13">
        <f t="shared" si="36"/>
        <v>0</v>
      </c>
      <c r="Z128" s="13">
        <f t="shared" si="37"/>
        <v>0</v>
      </c>
      <c r="AA128" s="13">
        <f t="shared" si="38"/>
        <v>0</v>
      </c>
      <c r="AB128" s="13">
        <f t="shared" si="39"/>
        <v>0</v>
      </c>
      <c r="AD128" s="24">
        <v>21</v>
      </c>
      <c r="AE128" s="24">
        <f>G128*0</f>
        <v>0</v>
      </c>
      <c r="AF128" s="24">
        <f>G128*(1-0)</f>
        <v>0</v>
      </c>
    </row>
    <row r="129" spans="1:37">
      <c r="A129" s="6" t="s">
        <v>110</v>
      </c>
      <c r="B129" s="6" t="s">
        <v>310</v>
      </c>
      <c r="C129" s="6" t="s">
        <v>406</v>
      </c>
      <c r="D129" s="6" t="s">
        <v>700</v>
      </c>
      <c r="E129" s="6" t="s">
        <v>924</v>
      </c>
      <c r="F129" s="13">
        <v>5</v>
      </c>
      <c r="G129" s="157"/>
      <c r="H129" s="13"/>
      <c r="I129" s="13"/>
      <c r="J129" s="13">
        <f t="shared" si="34"/>
        <v>0</v>
      </c>
      <c r="K129" s="13">
        <v>0</v>
      </c>
      <c r="L129" s="13">
        <f t="shared" si="35"/>
        <v>0</v>
      </c>
      <c r="N129" s="23" t="s">
        <v>7</v>
      </c>
      <c r="O129" s="13">
        <f t="shared" si="36"/>
        <v>0</v>
      </c>
      <c r="Z129" s="13">
        <f t="shared" si="37"/>
        <v>0</v>
      </c>
      <c r="AA129" s="13">
        <f t="shared" si="38"/>
        <v>0</v>
      </c>
      <c r="AB129" s="13">
        <f t="shared" si="39"/>
        <v>0</v>
      </c>
      <c r="AD129" s="24">
        <v>21</v>
      </c>
      <c r="AE129" s="24">
        <f>G129*0</f>
        <v>0</v>
      </c>
      <c r="AF129" s="24">
        <f>G129*(1-0)</f>
        <v>0</v>
      </c>
    </row>
    <row r="130" spans="1:37">
      <c r="A130" s="6" t="s">
        <v>111</v>
      </c>
      <c r="B130" s="6" t="s">
        <v>310</v>
      </c>
      <c r="C130" s="6" t="s">
        <v>407</v>
      </c>
      <c r="D130" s="6" t="s">
        <v>701</v>
      </c>
      <c r="E130" s="6" t="s">
        <v>924</v>
      </c>
      <c r="F130" s="13">
        <v>3</v>
      </c>
      <c r="G130" s="157"/>
      <c r="H130" s="13"/>
      <c r="I130" s="13"/>
      <c r="J130" s="13">
        <f t="shared" si="34"/>
        <v>0</v>
      </c>
      <c r="K130" s="13">
        <v>0</v>
      </c>
      <c r="L130" s="13">
        <f t="shared" si="35"/>
        <v>0</v>
      </c>
      <c r="N130" s="23" t="s">
        <v>7</v>
      </c>
      <c r="O130" s="13">
        <f t="shared" si="36"/>
        <v>0</v>
      </c>
      <c r="Z130" s="13">
        <f t="shared" si="37"/>
        <v>0</v>
      </c>
      <c r="AA130" s="13">
        <f t="shared" si="38"/>
        <v>0</v>
      </c>
      <c r="AB130" s="13">
        <f t="shared" si="39"/>
        <v>0</v>
      </c>
      <c r="AD130" s="24">
        <v>21</v>
      </c>
      <c r="AE130" s="24">
        <f>G130*0.885974914481186</f>
        <v>0</v>
      </c>
      <c r="AF130" s="24">
        <f>G130*(1-0.885974914481186)</f>
        <v>0</v>
      </c>
    </row>
    <row r="131" spans="1:37">
      <c r="A131" s="6" t="s">
        <v>112</v>
      </c>
      <c r="B131" s="6" t="s">
        <v>310</v>
      </c>
      <c r="C131" s="6" t="s">
        <v>408</v>
      </c>
      <c r="D131" s="6" t="s">
        <v>702</v>
      </c>
      <c r="E131" s="6" t="s">
        <v>919</v>
      </c>
      <c r="F131" s="13">
        <v>1</v>
      </c>
      <c r="G131" s="157"/>
      <c r="H131" s="13"/>
      <c r="I131" s="13"/>
      <c r="J131" s="13">
        <f t="shared" si="34"/>
        <v>0</v>
      </c>
      <c r="K131" s="13">
        <v>0</v>
      </c>
      <c r="L131" s="13">
        <f t="shared" si="35"/>
        <v>0</v>
      </c>
      <c r="N131" s="23" t="s">
        <v>11</v>
      </c>
      <c r="O131" s="13">
        <f t="shared" si="36"/>
        <v>0</v>
      </c>
      <c r="Z131" s="13">
        <f t="shared" si="37"/>
        <v>0</v>
      </c>
      <c r="AA131" s="13">
        <f t="shared" si="38"/>
        <v>0</v>
      </c>
      <c r="AB131" s="13">
        <f t="shared" si="39"/>
        <v>0</v>
      </c>
      <c r="AD131" s="24">
        <v>21</v>
      </c>
      <c r="AE131" s="24">
        <f>G131*0</f>
        <v>0</v>
      </c>
      <c r="AF131" s="24">
        <f>G131*(1-0)</f>
        <v>0</v>
      </c>
    </row>
    <row r="132" spans="1:37">
      <c r="A132" s="4"/>
      <c r="B132" s="4"/>
      <c r="C132" s="114" t="s">
        <v>365</v>
      </c>
      <c r="D132" s="135" t="s">
        <v>657</v>
      </c>
      <c r="E132" s="136"/>
      <c r="F132" s="136"/>
      <c r="G132" s="155"/>
      <c r="H132" s="26"/>
      <c r="I132" s="26"/>
      <c r="J132" s="26"/>
      <c r="K132" s="19"/>
      <c r="L132" s="26">
        <f>SUM(L133:L151)</f>
        <v>0.175645</v>
      </c>
      <c r="P132" s="26">
        <f>IF(Q132="PR",J132,SUM(O133:O151))</f>
        <v>0</v>
      </c>
      <c r="Q132" s="19" t="s">
        <v>953</v>
      </c>
      <c r="R132" s="26">
        <f>IF(Q132="HS",H132,0)</f>
        <v>0</v>
      </c>
      <c r="S132" s="26">
        <f>IF(Q132="HS",I132-P132,0)</f>
        <v>0</v>
      </c>
      <c r="T132" s="26">
        <f>IF(Q132="PS",H132,0)</f>
        <v>0</v>
      </c>
      <c r="U132" s="26">
        <f>IF(Q132="PS",I132-P132,0)</f>
        <v>0</v>
      </c>
      <c r="V132" s="26">
        <f>IF(Q132="MP",H132,0)</f>
        <v>0</v>
      </c>
      <c r="W132" s="26">
        <f>IF(Q132="MP",I132-P132,0)</f>
        <v>0</v>
      </c>
      <c r="X132" s="26">
        <f>IF(Q132="OM",H132,0)</f>
        <v>0</v>
      </c>
      <c r="Y132" s="19" t="s">
        <v>310</v>
      </c>
      <c r="AI132" s="26">
        <f>SUM(Z133:Z151)</f>
        <v>0</v>
      </c>
      <c r="AJ132" s="26">
        <f>SUM(AA133:AA151)</f>
        <v>0</v>
      </c>
      <c r="AK132" s="26">
        <f>SUM(AB133:AB151)</f>
        <v>0</v>
      </c>
    </row>
    <row r="133" spans="1:37">
      <c r="A133" s="5" t="s">
        <v>113</v>
      </c>
      <c r="B133" s="5" t="s">
        <v>310</v>
      </c>
      <c r="C133" s="5" t="s">
        <v>409</v>
      </c>
      <c r="D133" s="5" t="s">
        <v>703</v>
      </c>
      <c r="E133" s="5" t="s">
        <v>927</v>
      </c>
      <c r="F133" s="12">
        <v>4</v>
      </c>
      <c r="G133" s="156"/>
      <c r="H133" s="12"/>
      <c r="I133" s="12"/>
      <c r="J133" s="12">
        <f t="shared" ref="J133:J151" si="42">ROUND(F133*G133,2)</f>
        <v>0</v>
      </c>
      <c r="K133" s="12">
        <v>2.7E-4</v>
      </c>
      <c r="L133" s="12">
        <f t="shared" ref="L133:L151" si="43">F133*K133</f>
        <v>1.08E-3</v>
      </c>
      <c r="N133" s="22" t="s">
        <v>950</v>
      </c>
      <c r="O133" s="12">
        <f t="shared" ref="O133:O151" si="44">IF(N133="5",I133,0)</f>
        <v>0</v>
      </c>
      <c r="Z133" s="12">
        <f t="shared" ref="Z133:Z151" si="45">IF(AD133=0,J133,0)</f>
        <v>0</v>
      </c>
      <c r="AA133" s="12">
        <f t="shared" ref="AA133:AA151" si="46">IF(AD133=15,J133,0)</f>
        <v>0</v>
      </c>
      <c r="AB133" s="12">
        <f t="shared" ref="AB133:AB151" si="47">IF(AD133=21,J133,0)</f>
        <v>0</v>
      </c>
      <c r="AD133" s="24">
        <v>21</v>
      </c>
      <c r="AE133" s="24">
        <f t="shared" ref="AE133:AE147" si="48">G133*1</f>
        <v>0</v>
      </c>
      <c r="AF133" s="24">
        <f t="shared" ref="AF133:AF147" si="49">G133*(1-1)</f>
        <v>0</v>
      </c>
    </row>
    <row r="134" spans="1:37">
      <c r="A134" s="5" t="s">
        <v>114</v>
      </c>
      <c r="B134" s="5" t="s">
        <v>310</v>
      </c>
      <c r="C134" s="5" t="s">
        <v>410</v>
      </c>
      <c r="D134" s="5" t="s">
        <v>704</v>
      </c>
      <c r="E134" s="5" t="s">
        <v>927</v>
      </c>
      <c r="F134" s="12">
        <v>3</v>
      </c>
      <c r="G134" s="156"/>
      <c r="H134" s="12"/>
      <c r="I134" s="12"/>
      <c r="J134" s="12">
        <f t="shared" si="42"/>
        <v>0</v>
      </c>
      <c r="K134" s="12">
        <v>2.9E-4</v>
      </c>
      <c r="L134" s="12">
        <f t="shared" si="43"/>
        <v>8.7000000000000001E-4</v>
      </c>
      <c r="N134" s="22" t="s">
        <v>950</v>
      </c>
      <c r="O134" s="12">
        <f t="shared" si="44"/>
        <v>0</v>
      </c>
      <c r="Z134" s="12">
        <f t="shared" si="45"/>
        <v>0</v>
      </c>
      <c r="AA134" s="12">
        <f t="shared" si="46"/>
        <v>0</v>
      </c>
      <c r="AB134" s="12">
        <f t="shared" si="47"/>
        <v>0</v>
      </c>
      <c r="AD134" s="24">
        <v>21</v>
      </c>
      <c r="AE134" s="24">
        <f t="shared" si="48"/>
        <v>0</v>
      </c>
      <c r="AF134" s="24">
        <f t="shared" si="49"/>
        <v>0</v>
      </c>
    </row>
    <row r="135" spans="1:37">
      <c r="A135" s="5" t="s">
        <v>115</v>
      </c>
      <c r="B135" s="5" t="s">
        <v>310</v>
      </c>
      <c r="C135" s="5" t="s">
        <v>411</v>
      </c>
      <c r="D135" s="5" t="s">
        <v>705</v>
      </c>
      <c r="E135" s="5" t="s">
        <v>927</v>
      </c>
      <c r="F135" s="12">
        <v>3</v>
      </c>
      <c r="G135" s="156"/>
      <c r="H135" s="12"/>
      <c r="I135" s="12"/>
      <c r="J135" s="12">
        <f t="shared" si="42"/>
        <v>0</v>
      </c>
      <c r="K135" s="12">
        <v>3.2000000000000003E-4</v>
      </c>
      <c r="L135" s="12">
        <f t="shared" si="43"/>
        <v>9.6000000000000013E-4</v>
      </c>
      <c r="N135" s="22" t="s">
        <v>950</v>
      </c>
      <c r="O135" s="12">
        <f t="shared" si="44"/>
        <v>0</v>
      </c>
      <c r="Z135" s="12">
        <f t="shared" si="45"/>
        <v>0</v>
      </c>
      <c r="AA135" s="12">
        <f t="shared" si="46"/>
        <v>0</v>
      </c>
      <c r="AB135" s="12">
        <f t="shared" si="47"/>
        <v>0</v>
      </c>
      <c r="AD135" s="24">
        <v>21</v>
      </c>
      <c r="AE135" s="24">
        <f t="shared" si="48"/>
        <v>0</v>
      </c>
      <c r="AF135" s="24">
        <f t="shared" si="49"/>
        <v>0</v>
      </c>
    </row>
    <row r="136" spans="1:37">
      <c r="A136" s="5" t="s">
        <v>116</v>
      </c>
      <c r="B136" s="5" t="s">
        <v>310</v>
      </c>
      <c r="C136" s="5" t="s">
        <v>412</v>
      </c>
      <c r="D136" s="5" t="s">
        <v>706</v>
      </c>
      <c r="E136" s="5" t="s">
        <v>927</v>
      </c>
      <c r="F136" s="12">
        <v>11</v>
      </c>
      <c r="G136" s="156"/>
      <c r="H136" s="12"/>
      <c r="I136" s="12"/>
      <c r="J136" s="12">
        <f t="shared" si="42"/>
        <v>0</v>
      </c>
      <c r="K136" s="12">
        <v>4.2000000000000002E-4</v>
      </c>
      <c r="L136" s="12">
        <f t="shared" si="43"/>
        <v>4.62E-3</v>
      </c>
      <c r="N136" s="22" t="s">
        <v>950</v>
      </c>
      <c r="O136" s="12">
        <f t="shared" si="44"/>
        <v>0</v>
      </c>
      <c r="Z136" s="12">
        <f t="shared" si="45"/>
        <v>0</v>
      </c>
      <c r="AA136" s="12">
        <f t="shared" si="46"/>
        <v>0</v>
      </c>
      <c r="AB136" s="12">
        <f t="shared" si="47"/>
        <v>0</v>
      </c>
      <c r="AD136" s="24">
        <v>21</v>
      </c>
      <c r="AE136" s="24">
        <f t="shared" si="48"/>
        <v>0</v>
      </c>
      <c r="AF136" s="24">
        <f t="shared" si="49"/>
        <v>0</v>
      </c>
    </row>
    <row r="137" spans="1:37">
      <c r="A137" s="5" t="s">
        <v>117</v>
      </c>
      <c r="B137" s="5" t="s">
        <v>310</v>
      </c>
      <c r="C137" s="5" t="s">
        <v>413</v>
      </c>
      <c r="D137" s="5" t="s">
        <v>707</v>
      </c>
      <c r="E137" s="5" t="s">
        <v>927</v>
      </c>
      <c r="F137" s="12">
        <v>16</v>
      </c>
      <c r="G137" s="156"/>
      <c r="H137" s="12"/>
      <c r="I137" s="12"/>
      <c r="J137" s="12">
        <f t="shared" si="42"/>
        <v>0</v>
      </c>
      <c r="K137" s="12">
        <v>4.6999999999999999E-4</v>
      </c>
      <c r="L137" s="12">
        <f t="shared" si="43"/>
        <v>7.5199999999999998E-3</v>
      </c>
      <c r="N137" s="22" t="s">
        <v>950</v>
      </c>
      <c r="O137" s="12">
        <f t="shared" si="44"/>
        <v>0</v>
      </c>
      <c r="Z137" s="12">
        <f t="shared" si="45"/>
        <v>0</v>
      </c>
      <c r="AA137" s="12">
        <f t="shared" si="46"/>
        <v>0</v>
      </c>
      <c r="AB137" s="12">
        <f t="shared" si="47"/>
        <v>0</v>
      </c>
      <c r="AD137" s="24">
        <v>21</v>
      </c>
      <c r="AE137" s="24">
        <f t="shared" si="48"/>
        <v>0</v>
      </c>
      <c r="AF137" s="24">
        <f t="shared" si="49"/>
        <v>0</v>
      </c>
    </row>
    <row r="138" spans="1:37">
      <c r="A138" s="5" t="s">
        <v>118</v>
      </c>
      <c r="B138" s="5" t="s">
        <v>310</v>
      </c>
      <c r="C138" s="5" t="s">
        <v>414</v>
      </c>
      <c r="D138" s="5" t="s">
        <v>708</v>
      </c>
      <c r="E138" s="5" t="s">
        <v>927</v>
      </c>
      <c r="F138" s="12">
        <v>21.5</v>
      </c>
      <c r="G138" s="156"/>
      <c r="H138" s="12"/>
      <c r="I138" s="12"/>
      <c r="J138" s="12">
        <f t="shared" si="42"/>
        <v>0</v>
      </c>
      <c r="K138" s="12">
        <v>5.4000000000000001E-4</v>
      </c>
      <c r="L138" s="12">
        <f t="shared" si="43"/>
        <v>1.1610000000000001E-2</v>
      </c>
      <c r="N138" s="22" t="s">
        <v>950</v>
      </c>
      <c r="O138" s="12">
        <f t="shared" si="44"/>
        <v>0</v>
      </c>
      <c r="Z138" s="12">
        <f t="shared" si="45"/>
        <v>0</v>
      </c>
      <c r="AA138" s="12">
        <f t="shared" si="46"/>
        <v>0</v>
      </c>
      <c r="AB138" s="12">
        <f t="shared" si="47"/>
        <v>0</v>
      </c>
      <c r="AD138" s="24">
        <v>21</v>
      </c>
      <c r="AE138" s="24">
        <f t="shared" si="48"/>
        <v>0</v>
      </c>
      <c r="AF138" s="24">
        <f t="shared" si="49"/>
        <v>0</v>
      </c>
    </row>
    <row r="139" spans="1:37">
      <c r="A139" s="5" t="s">
        <v>119</v>
      </c>
      <c r="B139" s="5" t="s">
        <v>310</v>
      </c>
      <c r="C139" s="5" t="s">
        <v>415</v>
      </c>
      <c r="D139" s="5" t="s">
        <v>709</v>
      </c>
      <c r="E139" s="5" t="s">
        <v>927</v>
      </c>
      <c r="F139" s="12">
        <v>18.5</v>
      </c>
      <c r="G139" s="156"/>
      <c r="H139" s="12"/>
      <c r="I139" s="12"/>
      <c r="J139" s="12">
        <f t="shared" si="42"/>
        <v>0</v>
      </c>
      <c r="K139" s="12">
        <v>5.9000000000000003E-4</v>
      </c>
      <c r="L139" s="12">
        <f t="shared" si="43"/>
        <v>1.0915000000000001E-2</v>
      </c>
      <c r="N139" s="22" t="s">
        <v>950</v>
      </c>
      <c r="O139" s="12">
        <f t="shared" si="44"/>
        <v>0</v>
      </c>
      <c r="Z139" s="12">
        <f t="shared" si="45"/>
        <v>0</v>
      </c>
      <c r="AA139" s="12">
        <f t="shared" si="46"/>
        <v>0</v>
      </c>
      <c r="AB139" s="12">
        <f t="shared" si="47"/>
        <v>0</v>
      </c>
      <c r="AD139" s="24">
        <v>21</v>
      </c>
      <c r="AE139" s="24">
        <f t="shared" si="48"/>
        <v>0</v>
      </c>
      <c r="AF139" s="24">
        <f t="shared" si="49"/>
        <v>0</v>
      </c>
    </row>
    <row r="140" spans="1:37">
      <c r="A140" s="5" t="s">
        <v>120</v>
      </c>
      <c r="B140" s="5" t="s">
        <v>310</v>
      </c>
      <c r="C140" s="5" t="s">
        <v>416</v>
      </c>
      <c r="D140" s="5" t="s">
        <v>710</v>
      </c>
      <c r="E140" s="5" t="s">
        <v>927</v>
      </c>
      <c r="F140" s="12">
        <v>70</v>
      </c>
      <c r="G140" s="156"/>
      <c r="H140" s="12"/>
      <c r="I140" s="12"/>
      <c r="J140" s="12">
        <f t="shared" si="42"/>
        <v>0</v>
      </c>
      <c r="K140" s="12">
        <v>6.4999999999999997E-4</v>
      </c>
      <c r="L140" s="12">
        <f t="shared" si="43"/>
        <v>4.5499999999999999E-2</v>
      </c>
      <c r="N140" s="22" t="s">
        <v>950</v>
      </c>
      <c r="O140" s="12">
        <f t="shared" si="44"/>
        <v>0</v>
      </c>
      <c r="Z140" s="12">
        <f t="shared" si="45"/>
        <v>0</v>
      </c>
      <c r="AA140" s="12">
        <f t="shared" si="46"/>
        <v>0</v>
      </c>
      <c r="AB140" s="12">
        <f t="shared" si="47"/>
        <v>0</v>
      </c>
      <c r="AD140" s="24">
        <v>21</v>
      </c>
      <c r="AE140" s="24">
        <f t="shared" si="48"/>
        <v>0</v>
      </c>
      <c r="AF140" s="24">
        <f t="shared" si="49"/>
        <v>0</v>
      </c>
    </row>
    <row r="141" spans="1:37">
      <c r="A141" s="5" t="s">
        <v>121</v>
      </c>
      <c r="B141" s="5" t="s">
        <v>310</v>
      </c>
      <c r="C141" s="5" t="s">
        <v>417</v>
      </c>
      <c r="D141" s="5" t="s">
        <v>711</v>
      </c>
      <c r="E141" s="5" t="s">
        <v>927</v>
      </c>
      <c r="F141" s="12">
        <v>32</v>
      </c>
      <c r="G141" s="156"/>
      <c r="H141" s="12"/>
      <c r="I141" s="12"/>
      <c r="J141" s="12">
        <f t="shared" si="42"/>
        <v>0</v>
      </c>
      <c r="K141" s="12">
        <v>7.7999999999999999E-4</v>
      </c>
      <c r="L141" s="12">
        <f t="shared" si="43"/>
        <v>2.496E-2</v>
      </c>
      <c r="N141" s="22" t="s">
        <v>950</v>
      </c>
      <c r="O141" s="12">
        <f t="shared" si="44"/>
        <v>0</v>
      </c>
      <c r="Z141" s="12">
        <f t="shared" si="45"/>
        <v>0</v>
      </c>
      <c r="AA141" s="12">
        <f t="shared" si="46"/>
        <v>0</v>
      </c>
      <c r="AB141" s="12">
        <f t="shared" si="47"/>
        <v>0</v>
      </c>
      <c r="AD141" s="24">
        <v>21</v>
      </c>
      <c r="AE141" s="24">
        <f t="shared" si="48"/>
        <v>0</v>
      </c>
      <c r="AF141" s="24">
        <f t="shared" si="49"/>
        <v>0</v>
      </c>
    </row>
    <row r="142" spans="1:37">
      <c r="A142" s="5" t="s">
        <v>122</v>
      </c>
      <c r="B142" s="5" t="s">
        <v>310</v>
      </c>
      <c r="C142" s="5" t="s">
        <v>418</v>
      </c>
      <c r="D142" s="5" t="s">
        <v>712</v>
      </c>
      <c r="E142" s="5" t="s">
        <v>927</v>
      </c>
      <c r="F142" s="12">
        <v>20</v>
      </c>
      <c r="G142" s="156"/>
      <c r="H142" s="12"/>
      <c r="I142" s="12"/>
      <c r="J142" s="12">
        <f t="shared" si="42"/>
        <v>0</v>
      </c>
      <c r="K142" s="12">
        <v>8.8000000000000003E-4</v>
      </c>
      <c r="L142" s="12">
        <f t="shared" si="43"/>
        <v>1.7600000000000001E-2</v>
      </c>
      <c r="N142" s="22" t="s">
        <v>950</v>
      </c>
      <c r="O142" s="12">
        <f t="shared" si="44"/>
        <v>0</v>
      </c>
      <c r="Z142" s="12">
        <f t="shared" si="45"/>
        <v>0</v>
      </c>
      <c r="AA142" s="12">
        <f t="shared" si="46"/>
        <v>0</v>
      </c>
      <c r="AB142" s="12">
        <f t="shared" si="47"/>
        <v>0</v>
      </c>
      <c r="AD142" s="24">
        <v>21</v>
      </c>
      <c r="AE142" s="24">
        <f t="shared" si="48"/>
        <v>0</v>
      </c>
      <c r="AF142" s="24">
        <f t="shared" si="49"/>
        <v>0</v>
      </c>
    </row>
    <row r="143" spans="1:37">
      <c r="A143" s="5" t="s">
        <v>123</v>
      </c>
      <c r="B143" s="5" t="s">
        <v>310</v>
      </c>
      <c r="C143" s="5" t="s">
        <v>419</v>
      </c>
      <c r="D143" s="5" t="s">
        <v>713</v>
      </c>
      <c r="E143" s="5" t="s">
        <v>927</v>
      </c>
      <c r="F143" s="12">
        <v>5</v>
      </c>
      <c r="G143" s="156"/>
      <c r="H143" s="12"/>
      <c r="I143" s="12"/>
      <c r="J143" s="12">
        <f t="shared" si="42"/>
        <v>0</v>
      </c>
      <c r="K143" s="12">
        <v>9.2000000000000003E-4</v>
      </c>
      <c r="L143" s="12">
        <f t="shared" si="43"/>
        <v>4.5999999999999999E-3</v>
      </c>
      <c r="N143" s="22" t="s">
        <v>950</v>
      </c>
      <c r="O143" s="12">
        <f t="shared" si="44"/>
        <v>0</v>
      </c>
      <c r="Z143" s="12">
        <f t="shared" si="45"/>
        <v>0</v>
      </c>
      <c r="AA143" s="12">
        <f t="shared" si="46"/>
        <v>0</v>
      </c>
      <c r="AB143" s="12">
        <f t="shared" si="47"/>
        <v>0</v>
      </c>
      <c r="AD143" s="24">
        <v>21</v>
      </c>
      <c r="AE143" s="24">
        <f t="shared" si="48"/>
        <v>0</v>
      </c>
      <c r="AF143" s="24">
        <f t="shared" si="49"/>
        <v>0</v>
      </c>
    </row>
    <row r="144" spans="1:37">
      <c r="A144" s="5" t="s">
        <v>124</v>
      </c>
      <c r="B144" s="5" t="s">
        <v>310</v>
      </c>
      <c r="C144" s="5" t="s">
        <v>420</v>
      </c>
      <c r="D144" s="5" t="s">
        <v>714</v>
      </c>
      <c r="E144" s="5" t="s">
        <v>927</v>
      </c>
      <c r="F144" s="12">
        <v>5</v>
      </c>
      <c r="G144" s="156"/>
      <c r="H144" s="12"/>
      <c r="I144" s="12"/>
      <c r="J144" s="12">
        <f t="shared" si="42"/>
        <v>0</v>
      </c>
      <c r="K144" s="12">
        <v>1.01E-3</v>
      </c>
      <c r="L144" s="12">
        <f t="shared" si="43"/>
        <v>5.0500000000000007E-3</v>
      </c>
      <c r="N144" s="22" t="s">
        <v>950</v>
      </c>
      <c r="O144" s="12">
        <f t="shared" si="44"/>
        <v>0</v>
      </c>
      <c r="Z144" s="12">
        <f t="shared" si="45"/>
        <v>0</v>
      </c>
      <c r="AA144" s="12">
        <f t="shared" si="46"/>
        <v>0</v>
      </c>
      <c r="AB144" s="12">
        <f t="shared" si="47"/>
        <v>0</v>
      </c>
      <c r="AD144" s="24">
        <v>21</v>
      </c>
      <c r="AE144" s="24">
        <f t="shared" si="48"/>
        <v>0</v>
      </c>
      <c r="AF144" s="24">
        <f t="shared" si="49"/>
        <v>0</v>
      </c>
    </row>
    <row r="145" spans="1:37">
      <c r="A145" s="5" t="s">
        <v>125</v>
      </c>
      <c r="B145" s="5" t="s">
        <v>310</v>
      </c>
      <c r="C145" s="5" t="s">
        <v>421</v>
      </c>
      <c r="D145" s="5" t="s">
        <v>715</v>
      </c>
      <c r="E145" s="5" t="s">
        <v>927</v>
      </c>
      <c r="F145" s="12">
        <v>12</v>
      </c>
      <c r="G145" s="156"/>
      <c r="H145" s="12"/>
      <c r="I145" s="12"/>
      <c r="J145" s="12">
        <f t="shared" si="42"/>
        <v>0</v>
      </c>
      <c r="K145" s="12">
        <v>1.2099999999999999E-3</v>
      </c>
      <c r="L145" s="12">
        <f t="shared" si="43"/>
        <v>1.4519999999999998E-2</v>
      </c>
      <c r="N145" s="22" t="s">
        <v>950</v>
      </c>
      <c r="O145" s="12">
        <f t="shared" si="44"/>
        <v>0</v>
      </c>
      <c r="Z145" s="12">
        <f t="shared" si="45"/>
        <v>0</v>
      </c>
      <c r="AA145" s="12">
        <f t="shared" si="46"/>
        <v>0</v>
      </c>
      <c r="AB145" s="12">
        <f t="shared" si="47"/>
        <v>0</v>
      </c>
      <c r="AD145" s="24">
        <v>21</v>
      </c>
      <c r="AE145" s="24">
        <f t="shared" si="48"/>
        <v>0</v>
      </c>
      <c r="AF145" s="24">
        <f t="shared" si="49"/>
        <v>0</v>
      </c>
    </row>
    <row r="146" spans="1:37">
      <c r="A146" s="5" t="s">
        <v>126</v>
      </c>
      <c r="B146" s="5" t="s">
        <v>310</v>
      </c>
      <c r="C146" s="5" t="s">
        <v>422</v>
      </c>
      <c r="D146" s="5" t="s">
        <v>716</v>
      </c>
      <c r="E146" s="5" t="s">
        <v>927</v>
      </c>
      <c r="F146" s="12">
        <v>15</v>
      </c>
      <c r="G146" s="156"/>
      <c r="H146" s="12"/>
      <c r="I146" s="12"/>
      <c r="J146" s="12">
        <f t="shared" si="42"/>
        <v>0</v>
      </c>
      <c r="K146" s="12">
        <v>1.32E-3</v>
      </c>
      <c r="L146" s="12">
        <f t="shared" si="43"/>
        <v>1.9799999999999998E-2</v>
      </c>
      <c r="N146" s="22" t="s">
        <v>950</v>
      </c>
      <c r="O146" s="12">
        <f t="shared" si="44"/>
        <v>0</v>
      </c>
      <c r="Z146" s="12">
        <f t="shared" si="45"/>
        <v>0</v>
      </c>
      <c r="AA146" s="12">
        <f t="shared" si="46"/>
        <v>0</v>
      </c>
      <c r="AB146" s="12">
        <f t="shared" si="47"/>
        <v>0</v>
      </c>
      <c r="AD146" s="24">
        <v>21</v>
      </c>
      <c r="AE146" s="24">
        <f t="shared" si="48"/>
        <v>0</v>
      </c>
      <c r="AF146" s="24">
        <f t="shared" si="49"/>
        <v>0</v>
      </c>
    </row>
    <row r="147" spans="1:37">
      <c r="A147" s="5" t="s">
        <v>127</v>
      </c>
      <c r="B147" s="5" t="s">
        <v>310</v>
      </c>
      <c r="C147" s="5" t="s">
        <v>423</v>
      </c>
      <c r="D147" s="5" t="s">
        <v>717</v>
      </c>
      <c r="E147" s="5" t="s">
        <v>927</v>
      </c>
      <c r="F147" s="12">
        <v>4</v>
      </c>
      <c r="G147" s="156"/>
      <c r="H147" s="12"/>
      <c r="I147" s="12"/>
      <c r="J147" s="12">
        <f t="shared" si="42"/>
        <v>0</v>
      </c>
      <c r="K147" s="12">
        <v>1.5100000000000001E-3</v>
      </c>
      <c r="L147" s="12">
        <f t="shared" si="43"/>
        <v>6.0400000000000002E-3</v>
      </c>
      <c r="N147" s="22" t="s">
        <v>950</v>
      </c>
      <c r="O147" s="12">
        <f t="shared" si="44"/>
        <v>0</v>
      </c>
      <c r="Z147" s="12">
        <f t="shared" si="45"/>
        <v>0</v>
      </c>
      <c r="AA147" s="12">
        <f t="shared" si="46"/>
        <v>0</v>
      </c>
      <c r="AB147" s="12">
        <f t="shared" si="47"/>
        <v>0</v>
      </c>
      <c r="AD147" s="24">
        <v>21</v>
      </c>
      <c r="AE147" s="24">
        <f t="shared" si="48"/>
        <v>0</v>
      </c>
      <c r="AF147" s="24">
        <f t="shared" si="49"/>
        <v>0</v>
      </c>
    </row>
    <row r="148" spans="1:37">
      <c r="A148" s="6" t="s">
        <v>128</v>
      </c>
      <c r="B148" s="6" t="s">
        <v>310</v>
      </c>
      <c r="C148" s="6" t="s">
        <v>424</v>
      </c>
      <c r="D148" s="6" t="s">
        <v>718</v>
      </c>
      <c r="E148" s="6" t="s">
        <v>927</v>
      </c>
      <c r="F148" s="13">
        <v>47</v>
      </c>
      <c r="G148" s="157"/>
      <c r="H148" s="13"/>
      <c r="I148" s="13"/>
      <c r="J148" s="13">
        <f t="shared" si="42"/>
        <v>0</v>
      </c>
      <c r="K148" s="13">
        <v>0</v>
      </c>
      <c r="L148" s="13">
        <f t="shared" si="43"/>
        <v>0</v>
      </c>
      <c r="N148" s="23" t="s">
        <v>7</v>
      </c>
      <c r="O148" s="13">
        <f t="shared" si="44"/>
        <v>0</v>
      </c>
      <c r="Z148" s="13">
        <f t="shared" si="45"/>
        <v>0</v>
      </c>
      <c r="AA148" s="13">
        <f t="shared" si="46"/>
        <v>0</v>
      </c>
      <c r="AB148" s="13">
        <f t="shared" si="47"/>
        <v>0</v>
      </c>
      <c r="AD148" s="24">
        <v>21</v>
      </c>
      <c r="AE148" s="24">
        <f>G148*0</f>
        <v>0</v>
      </c>
      <c r="AF148" s="24">
        <f>G148*(1-0)</f>
        <v>0</v>
      </c>
    </row>
    <row r="149" spans="1:37">
      <c r="A149" s="6" t="s">
        <v>129</v>
      </c>
      <c r="B149" s="6" t="s">
        <v>310</v>
      </c>
      <c r="C149" s="6" t="s">
        <v>425</v>
      </c>
      <c r="D149" s="6" t="s">
        <v>719</v>
      </c>
      <c r="E149" s="6" t="s">
        <v>927</v>
      </c>
      <c r="F149" s="13">
        <v>126</v>
      </c>
      <c r="G149" s="157"/>
      <c r="H149" s="13"/>
      <c r="I149" s="13"/>
      <c r="J149" s="13">
        <f t="shared" si="42"/>
        <v>0</v>
      </c>
      <c r="K149" s="13">
        <v>0</v>
      </c>
      <c r="L149" s="13">
        <f t="shared" si="43"/>
        <v>0</v>
      </c>
      <c r="N149" s="23" t="s">
        <v>7</v>
      </c>
      <c r="O149" s="13">
        <f t="shared" si="44"/>
        <v>0</v>
      </c>
      <c r="Z149" s="13">
        <f t="shared" si="45"/>
        <v>0</v>
      </c>
      <c r="AA149" s="13">
        <f t="shared" si="46"/>
        <v>0</v>
      </c>
      <c r="AB149" s="13">
        <f t="shared" si="47"/>
        <v>0</v>
      </c>
      <c r="AD149" s="24">
        <v>21</v>
      </c>
      <c r="AE149" s="24">
        <f>G149*0</f>
        <v>0</v>
      </c>
      <c r="AF149" s="24">
        <f>G149*(1-0)</f>
        <v>0</v>
      </c>
    </row>
    <row r="150" spans="1:37">
      <c r="A150" s="6" t="s">
        <v>130</v>
      </c>
      <c r="B150" s="6" t="s">
        <v>310</v>
      </c>
      <c r="C150" s="6" t="s">
        <v>426</v>
      </c>
      <c r="D150" s="6" t="s">
        <v>720</v>
      </c>
      <c r="E150" s="6" t="s">
        <v>927</v>
      </c>
      <c r="F150" s="13">
        <v>67</v>
      </c>
      <c r="G150" s="157"/>
      <c r="H150" s="13"/>
      <c r="I150" s="13"/>
      <c r="J150" s="13">
        <f t="shared" si="42"/>
        <v>0</v>
      </c>
      <c r="K150" s="13">
        <v>0</v>
      </c>
      <c r="L150" s="13">
        <f t="shared" si="43"/>
        <v>0</v>
      </c>
      <c r="N150" s="23" t="s">
        <v>7</v>
      </c>
      <c r="O150" s="13">
        <f t="shared" si="44"/>
        <v>0</v>
      </c>
      <c r="Z150" s="13">
        <f t="shared" si="45"/>
        <v>0</v>
      </c>
      <c r="AA150" s="13">
        <f t="shared" si="46"/>
        <v>0</v>
      </c>
      <c r="AB150" s="13">
        <f t="shared" si="47"/>
        <v>0</v>
      </c>
      <c r="AD150" s="24">
        <v>21</v>
      </c>
      <c r="AE150" s="24">
        <f>G150*0</f>
        <v>0</v>
      </c>
      <c r="AF150" s="24">
        <f>G150*(1-0)</f>
        <v>0</v>
      </c>
    </row>
    <row r="151" spans="1:37">
      <c r="A151" s="6" t="s">
        <v>131</v>
      </c>
      <c r="B151" s="6" t="s">
        <v>310</v>
      </c>
      <c r="C151" s="6" t="s">
        <v>377</v>
      </c>
      <c r="D151" s="6" t="s">
        <v>669</v>
      </c>
      <c r="E151" s="6" t="s">
        <v>919</v>
      </c>
      <c r="F151" s="13">
        <v>1</v>
      </c>
      <c r="G151" s="157"/>
      <c r="H151" s="13"/>
      <c r="I151" s="13"/>
      <c r="J151" s="13">
        <f t="shared" si="42"/>
        <v>0</v>
      </c>
      <c r="K151" s="13">
        <v>0</v>
      </c>
      <c r="L151" s="13">
        <f t="shared" si="43"/>
        <v>0</v>
      </c>
      <c r="N151" s="23" t="s">
        <v>11</v>
      </c>
      <c r="O151" s="13">
        <f t="shared" si="44"/>
        <v>0</v>
      </c>
      <c r="Z151" s="13">
        <f t="shared" si="45"/>
        <v>0</v>
      </c>
      <c r="AA151" s="13">
        <f t="shared" si="46"/>
        <v>0</v>
      </c>
      <c r="AB151" s="13">
        <f t="shared" si="47"/>
        <v>0</v>
      </c>
      <c r="AD151" s="24">
        <v>21</v>
      </c>
      <c r="AE151" s="24">
        <f>G151*0</f>
        <v>0</v>
      </c>
      <c r="AF151" s="24">
        <f>G151*(1-0)</f>
        <v>0</v>
      </c>
    </row>
    <row r="152" spans="1:37">
      <c r="A152" s="4"/>
      <c r="B152" s="4"/>
      <c r="C152" s="114" t="s">
        <v>427</v>
      </c>
      <c r="D152" s="135" t="s">
        <v>721</v>
      </c>
      <c r="E152" s="136"/>
      <c r="F152" s="136"/>
      <c r="G152" s="155"/>
      <c r="H152" s="26"/>
      <c r="I152" s="26"/>
      <c r="J152" s="26"/>
      <c r="K152" s="19"/>
      <c r="L152" s="26">
        <f>SUM(L153:L160)</f>
        <v>0.73289500000000007</v>
      </c>
      <c r="P152" s="26">
        <f>IF(Q152="PR",J152,SUM(O153:O160))</f>
        <v>0</v>
      </c>
      <c r="Q152" s="19" t="s">
        <v>953</v>
      </c>
      <c r="R152" s="26">
        <f>IF(Q152="HS",H152,0)</f>
        <v>0</v>
      </c>
      <c r="S152" s="26">
        <f>IF(Q152="HS",I152-P152,0)</f>
        <v>0</v>
      </c>
      <c r="T152" s="26">
        <f>IF(Q152="PS",H152,0)</f>
        <v>0</v>
      </c>
      <c r="U152" s="26">
        <f>IF(Q152="PS",I152-P152,0)</f>
        <v>0</v>
      </c>
      <c r="V152" s="26">
        <f>IF(Q152="MP",H152,0)</f>
        <v>0</v>
      </c>
      <c r="W152" s="26">
        <f>IF(Q152="MP",I152-P152,0)</f>
        <v>0</v>
      </c>
      <c r="X152" s="26">
        <f>IF(Q152="OM",H152,0)</f>
        <v>0</v>
      </c>
      <c r="Y152" s="19" t="s">
        <v>310</v>
      </c>
      <c r="AI152" s="26">
        <f>SUM(Z153:Z160)</f>
        <v>0</v>
      </c>
      <c r="AJ152" s="26">
        <f>SUM(AA153:AA160)</f>
        <v>0</v>
      </c>
      <c r="AK152" s="26">
        <f>SUM(AB153:AB160)</f>
        <v>0</v>
      </c>
    </row>
    <row r="153" spans="1:37">
      <c r="A153" s="6" t="s">
        <v>132</v>
      </c>
      <c r="B153" s="6" t="s">
        <v>310</v>
      </c>
      <c r="C153" s="6" t="s">
        <v>428</v>
      </c>
      <c r="D153" s="6" t="s">
        <v>722</v>
      </c>
      <c r="E153" s="6" t="s">
        <v>927</v>
      </c>
      <c r="F153" s="13">
        <v>10.5</v>
      </c>
      <c r="G153" s="157"/>
      <c r="H153" s="13"/>
      <c r="I153" s="13"/>
      <c r="J153" s="13">
        <f t="shared" ref="J153:J160" si="50">ROUND(F153*G153,2)</f>
        <v>0</v>
      </c>
      <c r="K153" s="13">
        <v>5.4000000000000003E-3</v>
      </c>
      <c r="L153" s="13">
        <f t="shared" ref="L153:L160" si="51">F153*K153</f>
        <v>5.67E-2</v>
      </c>
      <c r="N153" s="23" t="s">
        <v>7</v>
      </c>
      <c r="O153" s="13">
        <f t="shared" ref="O153:O160" si="52">IF(N153="5",I153,0)</f>
        <v>0</v>
      </c>
      <c r="Z153" s="13">
        <f t="shared" ref="Z153:Z160" si="53">IF(AD153=0,J153,0)</f>
        <v>0</v>
      </c>
      <c r="AA153" s="13">
        <f t="shared" ref="AA153:AA160" si="54">IF(AD153=15,J153,0)</f>
        <v>0</v>
      </c>
      <c r="AB153" s="13">
        <f t="shared" ref="AB153:AB160" si="55">IF(AD153=21,J153,0)</f>
        <v>0</v>
      </c>
      <c r="AD153" s="24">
        <v>21</v>
      </c>
      <c r="AE153" s="24">
        <f>G153*0.422422907488987</f>
        <v>0</v>
      </c>
      <c r="AF153" s="24">
        <f>G153*(1-0.422422907488987)</f>
        <v>0</v>
      </c>
    </row>
    <row r="154" spans="1:37">
      <c r="A154" s="6" t="s">
        <v>133</v>
      </c>
      <c r="B154" s="6" t="s">
        <v>310</v>
      </c>
      <c r="C154" s="6" t="s">
        <v>429</v>
      </c>
      <c r="D154" s="6" t="s">
        <v>723</v>
      </c>
      <c r="E154" s="6" t="s">
        <v>927</v>
      </c>
      <c r="F154" s="13">
        <v>3.5</v>
      </c>
      <c r="G154" s="157"/>
      <c r="H154" s="13"/>
      <c r="I154" s="13"/>
      <c r="J154" s="13">
        <f t="shared" si="50"/>
        <v>0</v>
      </c>
      <c r="K154" s="13">
        <v>5.3499999999999997E-3</v>
      </c>
      <c r="L154" s="13">
        <f t="shared" si="51"/>
        <v>1.8724999999999999E-2</v>
      </c>
      <c r="N154" s="23" t="s">
        <v>7</v>
      </c>
      <c r="O154" s="13">
        <f t="shared" si="52"/>
        <v>0</v>
      </c>
      <c r="Z154" s="13">
        <f t="shared" si="53"/>
        <v>0</v>
      </c>
      <c r="AA154" s="13">
        <f t="shared" si="54"/>
        <v>0</v>
      </c>
      <c r="AB154" s="13">
        <f t="shared" si="55"/>
        <v>0</v>
      </c>
      <c r="AD154" s="24">
        <v>21</v>
      </c>
      <c r="AE154" s="24">
        <f>G154*0.445152618799861</f>
        <v>0</v>
      </c>
      <c r="AF154" s="24">
        <f>G154*(1-0.445152618799861)</f>
        <v>0</v>
      </c>
    </row>
    <row r="155" spans="1:37">
      <c r="A155" s="6" t="s">
        <v>134</v>
      </c>
      <c r="B155" s="6" t="s">
        <v>310</v>
      </c>
      <c r="C155" s="6" t="s">
        <v>430</v>
      </c>
      <c r="D155" s="6" t="s">
        <v>724</v>
      </c>
      <c r="E155" s="6" t="s">
        <v>927</v>
      </c>
      <c r="F155" s="13">
        <v>29</v>
      </c>
      <c r="G155" s="157"/>
      <c r="H155" s="13"/>
      <c r="I155" s="13"/>
      <c r="J155" s="13">
        <f t="shared" si="50"/>
        <v>0</v>
      </c>
      <c r="K155" s="13">
        <v>5.5100000000000001E-3</v>
      </c>
      <c r="L155" s="13">
        <f t="shared" si="51"/>
        <v>0.15979000000000002</v>
      </c>
      <c r="N155" s="23" t="s">
        <v>7</v>
      </c>
      <c r="O155" s="13">
        <f t="shared" si="52"/>
        <v>0</v>
      </c>
      <c r="Z155" s="13">
        <f t="shared" si="53"/>
        <v>0</v>
      </c>
      <c r="AA155" s="13">
        <f t="shared" si="54"/>
        <v>0</v>
      </c>
      <c r="AB155" s="13">
        <f t="shared" si="55"/>
        <v>0</v>
      </c>
      <c r="AD155" s="24">
        <v>21</v>
      </c>
      <c r="AE155" s="24">
        <f>G155*0.491381215469613</f>
        <v>0</v>
      </c>
      <c r="AF155" s="24">
        <f>G155*(1-0.491381215469613)</f>
        <v>0</v>
      </c>
    </row>
    <row r="156" spans="1:37">
      <c r="A156" s="6" t="s">
        <v>135</v>
      </c>
      <c r="B156" s="6" t="s">
        <v>310</v>
      </c>
      <c r="C156" s="6" t="s">
        <v>431</v>
      </c>
      <c r="D156" s="6" t="s">
        <v>725</v>
      </c>
      <c r="E156" s="6" t="s">
        <v>927</v>
      </c>
      <c r="F156" s="13">
        <v>5</v>
      </c>
      <c r="G156" s="157"/>
      <c r="H156" s="13"/>
      <c r="I156" s="13"/>
      <c r="J156" s="13">
        <f t="shared" si="50"/>
        <v>0</v>
      </c>
      <c r="K156" s="13">
        <v>5.8999999999999999E-3</v>
      </c>
      <c r="L156" s="13">
        <f t="shared" si="51"/>
        <v>2.9499999999999998E-2</v>
      </c>
      <c r="N156" s="23" t="s">
        <v>7</v>
      </c>
      <c r="O156" s="13">
        <f t="shared" si="52"/>
        <v>0</v>
      </c>
      <c r="Z156" s="13">
        <f t="shared" si="53"/>
        <v>0</v>
      </c>
      <c r="AA156" s="13">
        <f t="shared" si="54"/>
        <v>0</v>
      </c>
      <c r="AB156" s="13">
        <f t="shared" si="55"/>
        <v>0</v>
      </c>
      <c r="AD156" s="24">
        <v>21</v>
      </c>
      <c r="AE156" s="24">
        <f>G156*0.58385654729017</f>
        <v>0</v>
      </c>
      <c r="AF156" s="24">
        <f>G156*(1-0.58385654729017)</f>
        <v>0</v>
      </c>
    </row>
    <row r="157" spans="1:37">
      <c r="A157" s="6" t="s">
        <v>136</v>
      </c>
      <c r="B157" s="6" t="s">
        <v>310</v>
      </c>
      <c r="C157" s="6" t="s">
        <v>432</v>
      </c>
      <c r="D157" s="6" t="s">
        <v>726</v>
      </c>
      <c r="E157" s="6" t="s">
        <v>927</v>
      </c>
      <c r="F157" s="13">
        <v>32</v>
      </c>
      <c r="G157" s="157"/>
      <c r="H157" s="13"/>
      <c r="I157" s="13"/>
      <c r="J157" s="13">
        <f t="shared" si="50"/>
        <v>0</v>
      </c>
      <c r="K157" s="13">
        <v>8.2500000000000004E-3</v>
      </c>
      <c r="L157" s="13">
        <f t="shared" si="51"/>
        <v>0.26400000000000001</v>
      </c>
      <c r="N157" s="23" t="s">
        <v>7</v>
      </c>
      <c r="O157" s="13">
        <f t="shared" si="52"/>
        <v>0</v>
      </c>
      <c r="Z157" s="13">
        <f t="shared" si="53"/>
        <v>0</v>
      </c>
      <c r="AA157" s="13">
        <f t="shared" si="54"/>
        <v>0</v>
      </c>
      <c r="AB157" s="13">
        <f t="shared" si="55"/>
        <v>0</v>
      </c>
      <c r="AD157" s="24">
        <v>21</v>
      </c>
      <c r="AE157" s="24">
        <f>G157*0.597565614302016</f>
        <v>0</v>
      </c>
      <c r="AF157" s="24">
        <f>G157*(1-0.597565614302016)</f>
        <v>0</v>
      </c>
    </row>
    <row r="158" spans="1:37">
      <c r="A158" s="6" t="s">
        <v>137</v>
      </c>
      <c r="B158" s="6" t="s">
        <v>310</v>
      </c>
      <c r="C158" s="6" t="s">
        <v>433</v>
      </c>
      <c r="D158" s="6" t="s">
        <v>727</v>
      </c>
      <c r="E158" s="6" t="s">
        <v>927</v>
      </c>
      <c r="F158" s="13">
        <v>15</v>
      </c>
      <c r="G158" s="157"/>
      <c r="H158" s="13"/>
      <c r="I158" s="13"/>
      <c r="J158" s="13">
        <f t="shared" si="50"/>
        <v>0</v>
      </c>
      <c r="K158" s="13">
        <v>1.014E-2</v>
      </c>
      <c r="L158" s="13">
        <f t="shared" si="51"/>
        <v>0.15209999999999999</v>
      </c>
      <c r="N158" s="23" t="s">
        <v>7</v>
      </c>
      <c r="O158" s="13">
        <f t="shared" si="52"/>
        <v>0</v>
      </c>
      <c r="Z158" s="13">
        <f t="shared" si="53"/>
        <v>0</v>
      </c>
      <c r="AA158" s="13">
        <f t="shared" si="54"/>
        <v>0</v>
      </c>
      <c r="AB158" s="13">
        <f t="shared" si="55"/>
        <v>0</v>
      </c>
      <c r="AD158" s="24">
        <v>21</v>
      </c>
      <c r="AE158" s="24">
        <f>G158*0.6756002059186</f>
        <v>0</v>
      </c>
      <c r="AF158" s="24">
        <f>G158*(1-0.6756002059186)</f>
        <v>0</v>
      </c>
    </row>
    <row r="159" spans="1:37">
      <c r="A159" s="6" t="s">
        <v>138</v>
      </c>
      <c r="B159" s="6" t="s">
        <v>310</v>
      </c>
      <c r="C159" s="6" t="s">
        <v>434</v>
      </c>
      <c r="D159" s="6" t="s">
        <v>728</v>
      </c>
      <c r="E159" s="6" t="s">
        <v>927</v>
      </c>
      <c r="F159" s="13">
        <v>4</v>
      </c>
      <c r="G159" s="157"/>
      <c r="H159" s="13"/>
      <c r="I159" s="13"/>
      <c r="J159" s="13">
        <f t="shared" si="50"/>
        <v>0</v>
      </c>
      <c r="K159" s="13">
        <v>1.302E-2</v>
      </c>
      <c r="L159" s="13">
        <f t="shared" si="51"/>
        <v>5.2080000000000001E-2</v>
      </c>
      <c r="N159" s="23" t="s">
        <v>7</v>
      </c>
      <c r="O159" s="13">
        <f t="shared" si="52"/>
        <v>0</v>
      </c>
      <c r="Z159" s="13">
        <f t="shared" si="53"/>
        <v>0</v>
      </c>
      <c r="AA159" s="13">
        <f t="shared" si="54"/>
        <v>0</v>
      </c>
      <c r="AB159" s="13">
        <f t="shared" si="55"/>
        <v>0</v>
      </c>
      <c r="AD159" s="24">
        <v>21</v>
      </c>
      <c r="AE159" s="24">
        <f>G159*0.715827497562273</f>
        <v>0</v>
      </c>
      <c r="AF159" s="24">
        <f>G159*(1-0.715827497562273)</f>
        <v>0</v>
      </c>
    </row>
    <row r="160" spans="1:37">
      <c r="A160" s="6" t="s">
        <v>139</v>
      </c>
      <c r="B160" s="6" t="s">
        <v>310</v>
      </c>
      <c r="C160" s="6" t="s">
        <v>435</v>
      </c>
      <c r="D160" s="6" t="s">
        <v>729</v>
      </c>
      <c r="E160" s="6" t="s">
        <v>919</v>
      </c>
      <c r="F160" s="13">
        <v>1</v>
      </c>
      <c r="G160" s="157"/>
      <c r="H160" s="13"/>
      <c r="I160" s="13"/>
      <c r="J160" s="13">
        <f t="shared" si="50"/>
        <v>0</v>
      </c>
      <c r="K160" s="13">
        <v>0</v>
      </c>
      <c r="L160" s="13">
        <f t="shared" si="51"/>
        <v>0</v>
      </c>
      <c r="N160" s="23" t="s">
        <v>11</v>
      </c>
      <c r="O160" s="13">
        <f t="shared" si="52"/>
        <v>0</v>
      </c>
      <c r="Z160" s="13">
        <f t="shared" si="53"/>
        <v>0</v>
      </c>
      <c r="AA160" s="13">
        <f t="shared" si="54"/>
        <v>0</v>
      </c>
      <c r="AB160" s="13">
        <f t="shared" si="55"/>
        <v>0</v>
      </c>
      <c r="AD160" s="24">
        <v>21</v>
      </c>
      <c r="AE160" s="24">
        <f>G160*0</f>
        <v>0</v>
      </c>
      <c r="AF160" s="24">
        <f>G160*(1-0)</f>
        <v>0</v>
      </c>
    </row>
    <row r="161" spans="1:37">
      <c r="A161" s="4"/>
      <c r="B161" s="4"/>
      <c r="C161" s="114" t="s">
        <v>321</v>
      </c>
      <c r="D161" s="135" t="s">
        <v>610</v>
      </c>
      <c r="E161" s="136"/>
      <c r="F161" s="136"/>
      <c r="G161" s="155"/>
      <c r="H161" s="26"/>
      <c r="I161" s="26"/>
      <c r="J161" s="26"/>
      <c r="K161" s="19"/>
      <c r="L161" s="26">
        <f>SUM(L162:L181)</f>
        <v>8.7559999999999999E-2</v>
      </c>
      <c r="P161" s="26">
        <f>IF(Q161="PR",J161,SUM(O162:O181))</f>
        <v>0</v>
      </c>
      <c r="Q161" s="19" t="s">
        <v>953</v>
      </c>
      <c r="R161" s="26">
        <f>IF(Q161="HS",H161,0)</f>
        <v>0</v>
      </c>
      <c r="S161" s="26">
        <f>IF(Q161="HS",I161-P161,0)</f>
        <v>0</v>
      </c>
      <c r="T161" s="26">
        <f>IF(Q161="PS",H161,0)</f>
        <v>0</v>
      </c>
      <c r="U161" s="26">
        <f>IF(Q161="PS",I161-P161,0)</f>
        <v>0</v>
      </c>
      <c r="V161" s="26">
        <f>IF(Q161="MP",H161,0)</f>
        <v>0</v>
      </c>
      <c r="W161" s="26">
        <f>IF(Q161="MP",I161-P161,0)</f>
        <v>0</v>
      </c>
      <c r="X161" s="26">
        <f>IF(Q161="OM",H161,0)</f>
        <v>0</v>
      </c>
      <c r="Y161" s="19" t="s">
        <v>310</v>
      </c>
      <c r="AI161" s="26">
        <f>SUM(Z162:Z181)</f>
        <v>0</v>
      </c>
      <c r="AJ161" s="26">
        <f>SUM(AA162:AA181)</f>
        <v>0</v>
      </c>
      <c r="AK161" s="26">
        <f>SUM(AB162:AB181)</f>
        <v>0</v>
      </c>
    </row>
    <row r="162" spans="1:37">
      <c r="A162" s="5" t="s">
        <v>140</v>
      </c>
      <c r="B162" s="5" t="s">
        <v>310</v>
      </c>
      <c r="C162" s="5" t="s">
        <v>436</v>
      </c>
      <c r="D162" s="5" t="s">
        <v>730</v>
      </c>
      <c r="E162" s="5" t="s">
        <v>921</v>
      </c>
      <c r="F162" s="12">
        <v>13</v>
      </c>
      <c r="G162" s="156"/>
      <c r="H162" s="12"/>
      <c r="I162" s="12"/>
      <c r="J162" s="12">
        <f t="shared" ref="J162:J181" si="56">ROUND(F162*G162,2)</f>
        <v>0</v>
      </c>
      <c r="K162" s="12">
        <v>3.2000000000000003E-4</v>
      </c>
      <c r="L162" s="12">
        <f t="shared" ref="L162:L181" si="57">F162*K162</f>
        <v>4.1600000000000005E-3</v>
      </c>
      <c r="N162" s="22" t="s">
        <v>950</v>
      </c>
      <c r="O162" s="12">
        <f t="shared" ref="O162:O181" si="58">IF(N162="5",I162,0)</f>
        <v>0</v>
      </c>
      <c r="Z162" s="12">
        <f t="shared" ref="Z162:Z181" si="59">IF(AD162=0,J162,0)</f>
        <v>0</v>
      </c>
      <c r="AA162" s="12">
        <f t="shared" ref="AA162:AA181" si="60">IF(AD162=15,J162,0)</f>
        <v>0</v>
      </c>
      <c r="AB162" s="12">
        <f t="shared" ref="AB162:AB181" si="61">IF(AD162=21,J162,0)</f>
        <v>0</v>
      </c>
      <c r="AD162" s="24">
        <v>21</v>
      </c>
      <c r="AE162" s="24">
        <f t="shared" ref="AE162:AE168" si="62">G162*1</f>
        <v>0</v>
      </c>
      <c r="AF162" s="24">
        <f t="shared" ref="AF162:AF168" si="63">G162*(1-1)</f>
        <v>0</v>
      </c>
    </row>
    <row r="163" spans="1:37">
      <c r="A163" s="5" t="s">
        <v>141</v>
      </c>
      <c r="B163" s="5" t="s">
        <v>310</v>
      </c>
      <c r="C163" s="5" t="s">
        <v>437</v>
      </c>
      <c r="D163" s="5" t="s">
        <v>731</v>
      </c>
      <c r="E163" s="5" t="s">
        <v>921</v>
      </c>
      <c r="F163" s="12">
        <v>13</v>
      </c>
      <c r="G163" s="156"/>
      <c r="H163" s="12"/>
      <c r="I163" s="12"/>
      <c r="J163" s="12">
        <f t="shared" si="56"/>
        <v>0</v>
      </c>
      <c r="K163" s="12">
        <v>1.2999999999999999E-4</v>
      </c>
      <c r="L163" s="12">
        <f t="shared" si="57"/>
        <v>1.6899999999999999E-3</v>
      </c>
      <c r="N163" s="22" t="s">
        <v>950</v>
      </c>
      <c r="O163" s="12">
        <f t="shared" si="58"/>
        <v>0</v>
      </c>
      <c r="Z163" s="12">
        <f t="shared" si="59"/>
        <v>0</v>
      </c>
      <c r="AA163" s="12">
        <f t="shared" si="60"/>
        <v>0</v>
      </c>
      <c r="AB163" s="12">
        <f t="shared" si="61"/>
        <v>0</v>
      </c>
      <c r="AD163" s="24">
        <v>21</v>
      </c>
      <c r="AE163" s="24">
        <f t="shared" si="62"/>
        <v>0</v>
      </c>
      <c r="AF163" s="24">
        <f t="shared" si="63"/>
        <v>0</v>
      </c>
    </row>
    <row r="164" spans="1:37">
      <c r="A164" s="5" t="s">
        <v>142</v>
      </c>
      <c r="B164" s="5" t="s">
        <v>310</v>
      </c>
      <c r="C164" s="5" t="s">
        <v>438</v>
      </c>
      <c r="D164" s="5" t="s">
        <v>732</v>
      </c>
      <c r="E164" s="5" t="s">
        <v>921</v>
      </c>
      <c r="F164" s="12">
        <v>7</v>
      </c>
      <c r="G164" s="156"/>
      <c r="H164" s="12"/>
      <c r="I164" s="12"/>
      <c r="J164" s="12">
        <f t="shared" si="56"/>
        <v>0</v>
      </c>
      <c r="K164" s="12">
        <v>7.0000000000000001E-3</v>
      </c>
      <c r="L164" s="12">
        <f t="shared" si="57"/>
        <v>4.9000000000000002E-2</v>
      </c>
      <c r="N164" s="22" t="s">
        <v>950</v>
      </c>
      <c r="O164" s="12">
        <f t="shared" si="58"/>
        <v>0</v>
      </c>
      <c r="Z164" s="12">
        <f t="shared" si="59"/>
        <v>0</v>
      </c>
      <c r="AA164" s="12">
        <f t="shared" si="60"/>
        <v>0</v>
      </c>
      <c r="AB164" s="12">
        <f t="shared" si="61"/>
        <v>0</v>
      </c>
      <c r="AD164" s="24">
        <v>21</v>
      </c>
      <c r="AE164" s="24">
        <f t="shared" si="62"/>
        <v>0</v>
      </c>
      <c r="AF164" s="24">
        <f t="shared" si="63"/>
        <v>0</v>
      </c>
    </row>
    <row r="165" spans="1:37">
      <c r="A165" s="5" t="s">
        <v>143</v>
      </c>
      <c r="B165" s="5" t="s">
        <v>310</v>
      </c>
      <c r="C165" s="5" t="s">
        <v>439</v>
      </c>
      <c r="D165" s="5" t="s">
        <v>733</v>
      </c>
      <c r="E165" s="5" t="s">
        <v>921</v>
      </c>
      <c r="F165" s="12">
        <v>3</v>
      </c>
      <c r="G165" s="156"/>
      <c r="H165" s="12"/>
      <c r="I165" s="12"/>
      <c r="J165" s="12">
        <f t="shared" si="56"/>
        <v>0</v>
      </c>
      <c r="K165" s="12">
        <v>7.2999999999999996E-4</v>
      </c>
      <c r="L165" s="12">
        <f t="shared" si="57"/>
        <v>2.1900000000000001E-3</v>
      </c>
      <c r="N165" s="22" t="s">
        <v>950</v>
      </c>
      <c r="O165" s="12">
        <f t="shared" si="58"/>
        <v>0</v>
      </c>
      <c r="Z165" s="12">
        <f t="shared" si="59"/>
        <v>0</v>
      </c>
      <c r="AA165" s="12">
        <f t="shared" si="60"/>
        <v>0</v>
      </c>
      <c r="AB165" s="12">
        <f t="shared" si="61"/>
        <v>0</v>
      </c>
      <c r="AD165" s="24">
        <v>21</v>
      </c>
      <c r="AE165" s="24">
        <f t="shared" si="62"/>
        <v>0</v>
      </c>
      <c r="AF165" s="24">
        <f t="shared" si="63"/>
        <v>0</v>
      </c>
    </row>
    <row r="166" spans="1:37">
      <c r="A166" s="5" t="s">
        <v>144</v>
      </c>
      <c r="B166" s="5" t="s">
        <v>310</v>
      </c>
      <c r="C166" s="5" t="s">
        <v>440</v>
      </c>
      <c r="D166" s="5" t="s">
        <v>734</v>
      </c>
      <c r="E166" s="5" t="s">
        <v>921</v>
      </c>
      <c r="F166" s="12">
        <v>4</v>
      </c>
      <c r="G166" s="156"/>
      <c r="H166" s="12"/>
      <c r="I166" s="12"/>
      <c r="J166" s="12">
        <f t="shared" si="56"/>
        <v>0</v>
      </c>
      <c r="K166" s="12">
        <v>5.0000000000000001E-4</v>
      </c>
      <c r="L166" s="12">
        <f t="shared" si="57"/>
        <v>2E-3</v>
      </c>
      <c r="N166" s="22" t="s">
        <v>950</v>
      </c>
      <c r="O166" s="12">
        <f t="shared" si="58"/>
        <v>0</v>
      </c>
      <c r="Z166" s="12">
        <f t="shared" si="59"/>
        <v>0</v>
      </c>
      <c r="AA166" s="12">
        <f t="shared" si="60"/>
        <v>0</v>
      </c>
      <c r="AB166" s="12">
        <f t="shared" si="61"/>
        <v>0</v>
      </c>
      <c r="AD166" s="24">
        <v>21</v>
      </c>
      <c r="AE166" s="24">
        <f t="shared" si="62"/>
        <v>0</v>
      </c>
      <c r="AF166" s="24">
        <f t="shared" si="63"/>
        <v>0</v>
      </c>
    </row>
    <row r="167" spans="1:37">
      <c r="A167" s="5" t="s">
        <v>145</v>
      </c>
      <c r="B167" s="5" t="s">
        <v>310</v>
      </c>
      <c r="C167" s="5" t="s">
        <v>441</v>
      </c>
      <c r="D167" s="5" t="s">
        <v>735</v>
      </c>
      <c r="E167" s="5" t="s">
        <v>921</v>
      </c>
      <c r="F167" s="12">
        <v>20</v>
      </c>
      <c r="G167" s="156"/>
      <c r="H167" s="12"/>
      <c r="I167" s="12"/>
      <c r="J167" s="12">
        <f t="shared" si="56"/>
        <v>0</v>
      </c>
      <c r="K167" s="12">
        <v>0</v>
      </c>
      <c r="L167" s="12">
        <f t="shared" si="57"/>
        <v>0</v>
      </c>
      <c r="N167" s="22" t="s">
        <v>950</v>
      </c>
      <c r="O167" s="12">
        <f t="shared" si="58"/>
        <v>0</v>
      </c>
      <c r="Z167" s="12">
        <f t="shared" si="59"/>
        <v>0</v>
      </c>
      <c r="AA167" s="12">
        <f t="shared" si="60"/>
        <v>0</v>
      </c>
      <c r="AB167" s="12">
        <f t="shared" si="61"/>
        <v>0</v>
      </c>
      <c r="AD167" s="24">
        <v>21</v>
      </c>
      <c r="AE167" s="24">
        <f t="shared" si="62"/>
        <v>0</v>
      </c>
      <c r="AF167" s="24">
        <f t="shared" si="63"/>
        <v>0</v>
      </c>
    </row>
    <row r="168" spans="1:37">
      <c r="A168" s="5" t="s">
        <v>146</v>
      </c>
      <c r="B168" s="5" t="s">
        <v>310</v>
      </c>
      <c r="C168" s="5" t="s">
        <v>442</v>
      </c>
      <c r="D168" s="5" t="s">
        <v>736</v>
      </c>
      <c r="E168" s="5" t="s">
        <v>924</v>
      </c>
      <c r="F168" s="12">
        <v>7</v>
      </c>
      <c r="G168" s="156"/>
      <c r="H168" s="12"/>
      <c r="I168" s="12"/>
      <c r="J168" s="12">
        <f t="shared" si="56"/>
        <v>0</v>
      </c>
      <c r="K168" s="12">
        <v>0</v>
      </c>
      <c r="L168" s="12">
        <f t="shared" si="57"/>
        <v>0</v>
      </c>
      <c r="N168" s="22" t="s">
        <v>950</v>
      </c>
      <c r="O168" s="12">
        <f t="shared" si="58"/>
        <v>0</v>
      </c>
      <c r="Z168" s="12">
        <f t="shared" si="59"/>
        <v>0</v>
      </c>
      <c r="AA168" s="12">
        <f t="shared" si="60"/>
        <v>0</v>
      </c>
      <c r="AB168" s="12">
        <f t="shared" si="61"/>
        <v>0</v>
      </c>
      <c r="AD168" s="24">
        <v>21</v>
      </c>
      <c r="AE168" s="24">
        <f t="shared" si="62"/>
        <v>0</v>
      </c>
      <c r="AF168" s="24">
        <f t="shared" si="63"/>
        <v>0</v>
      </c>
    </row>
    <row r="169" spans="1:37">
      <c r="A169" s="6" t="s">
        <v>147</v>
      </c>
      <c r="B169" s="6" t="s">
        <v>310</v>
      </c>
      <c r="C169" s="6" t="s">
        <v>443</v>
      </c>
      <c r="D169" s="6" t="s">
        <v>737</v>
      </c>
      <c r="E169" s="6" t="s">
        <v>919</v>
      </c>
      <c r="F169" s="13">
        <v>2</v>
      </c>
      <c r="G169" s="157"/>
      <c r="H169" s="13"/>
      <c r="I169" s="13"/>
      <c r="J169" s="13">
        <f t="shared" si="56"/>
        <v>0</v>
      </c>
      <c r="K169" s="13">
        <v>0</v>
      </c>
      <c r="L169" s="13">
        <f t="shared" si="57"/>
        <v>0</v>
      </c>
      <c r="N169" s="23" t="s">
        <v>7</v>
      </c>
      <c r="O169" s="13">
        <f t="shared" si="58"/>
        <v>0</v>
      </c>
      <c r="Z169" s="13">
        <f t="shared" si="59"/>
        <v>0</v>
      </c>
      <c r="AA169" s="13">
        <f t="shared" si="60"/>
        <v>0</v>
      </c>
      <c r="AB169" s="13">
        <f t="shared" si="61"/>
        <v>0</v>
      </c>
      <c r="AD169" s="24">
        <v>21</v>
      </c>
      <c r="AE169" s="24">
        <f>G169*0</f>
        <v>0</v>
      </c>
      <c r="AF169" s="24">
        <f>G169*(1-0)</f>
        <v>0</v>
      </c>
    </row>
    <row r="170" spans="1:37">
      <c r="A170" s="6" t="s">
        <v>148</v>
      </c>
      <c r="B170" s="6" t="s">
        <v>310</v>
      </c>
      <c r="C170" s="6" t="s">
        <v>444</v>
      </c>
      <c r="D170" s="6" t="s">
        <v>738</v>
      </c>
      <c r="E170" s="6" t="s">
        <v>921</v>
      </c>
      <c r="F170" s="13">
        <v>8</v>
      </c>
      <c r="G170" s="157"/>
      <c r="H170" s="13"/>
      <c r="I170" s="13"/>
      <c r="J170" s="13">
        <f t="shared" si="56"/>
        <v>0</v>
      </c>
      <c r="K170" s="13">
        <v>0</v>
      </c>
      <c r="L170" s="13">
        <f t="shared" si="57"/>
        <v>0</v>
      </c>
      <c r="N170" s="23" t="s">
        <v>7</v>
      </c>
      <c r="O170" s="13">
        <f t="shared" si="58"/>
        <v>0</v>
      </c>
      <c r="Z170" s="13">
        <f t="shared" si="59"/>
        <v>0</v>
      </c>
      <c r="AA170" s="13">
        <f t="shared" si="60"/>
        <v>0</v>
      </c>
      <c r="AB170" s="13">
        <f t="shared" si="61"/>
        <v>0</v>
      </c>
      <c r="AD170" s="24">
        <v>21</v>
      </c>
      <c r="AE170" s="24">
        <f>G170*0</f>
        <v>0</v>
      </c>
      <c r="AF170" s="24">
        <f>G170*(1-0)</f>
        <v>0</v>
      </c>
    </row>
    <row r="171" spans="1:37">
      <c r="A171" s="6" t="s">
        <v>149</v>
      </c>
      <c r="B171" s="6" t="s">
        <v>310</v>
      </c>
      <c r="C171" s="6" t="s">
        <v>445</v>
      </c>
      <c r="D171" s="6" t="s">
        <v>739</v>
      </c>
      <c r="E171" s="6" t="s">
        <v>919</v>
      </c>
      <c r="F171" s="13">
        <v>2</v>
      </c>
      <c r="G171" s="157"/>
      <c r="H171" s="13"/>
      <c r="I171" s="13"/>
      <c r="J171" s="13">
        <f t="shared" si="56"/>
        <v>0</v>
      </c>
      <c r="K171" s="13">
        <v>0</v>
      </c>
      <c r="L171" s="13">
        <f t="shared" si="57"/>
        <v>0</v>
      </c>
      <c r="N171" s="23" t="s">
        <v>7</v>
      </c>
      <c r="O171" s="13">
        <f t="shared" si="58"/>
        <v>0</v>
      </c>
      <c r="Z171" s="13">
        <f t="shared" si="59"/>
        <v>0</v>
      </c>
      <c r="AA171" s="13">
        <f t="shared" si="60"/>
        <v>0</v>
      </c>
      <c r="AB171" s="13">
        <f t="shared" si="61"/>
        <v>0</v>
      </c>
      <c r="AD171" s="24">
        <v>21</v>
      </c>
      <c r="AE171" s="24">
        <f>G171*0</f>
        <v>0</v>
      </c>
      <c r="AF171" s="24">
        <f>G171*(1-0)</f>
        <v>0</v>
      </c>
    </row>
    <row r="172" spans="1:37">
      <c r="A172" s="6" t="s">
        <v>150</v>
      </c>
      <c r="B172" s="6" t="s">
        <v>310</v>
      </c>
      <c r="C172" s="6" t="s">
        <v>446</v>
      </c>
      <c r="D172" s="6" t="s">
        <v>740</v>
      </c>
      <c r="E172" s="6" t="s">
        <v>921</v>
      </c>
      <c r="F172" s="13">
        <v>27</v>
      </c>
      <c r="G172" s="157"/>
      <c r="H172" s="13"/>
      <c r="I172" s="13"/>
      <c r="J172" s="13">
        <f t="shared" si="56"/>
        <v>0</v>
      </c>
      <c r="K172" s="13">
        <v>3.0000000000000001E-5</v>
      </c>
      <c r="L172" s="13">
        <f t="shared" si="57"/>
        <v>8.1000000000000006E-4</v>
      </c>
      <c r="N172" s="23" t="s">
        <v>7</v>
      </c>
      <c r="O172" s="13">
        <f t="shared" si="58"/>
        <v>0</v>
      </c>
      <c r="Z172" s="13">
        <f t="shared" si="59"/>
        <v>0</v>
      </c>
      <c r="AA172" s="13">
        <f t="shared" si="60"/>
        <v>0</v>
      </c>
      <c r="AB172" s="13">
        <f t="shared" si="61"/>
        <v>0</v>
      </c>
      <c r="AD172" s="24">
        <v>21</v>
      </c>
      <c r="AE172" s="24">
        <f>G172*0.085224128389596</f>
        <v>0</v>
      </c>
      <c r="AF172" s="24">
        <f>G172*(1-0.085224128389596)</f>
        <v>0</v>
      </c>
    </row>
    <row r="173" spans="1:37">
      <c r="A173" s="6" t="s">
        <v>151</v>
      </c>
      <c r="B173" s="6" t="s">
        <v>310</v>
      </c>
      <c r="C173" s="6" t="s">
        <v>447</v>
      </c>
      <c r="D173" s="6" t="s">
        <v>741</v>
      </c>
      <c r="E173" s="6" t="s">
        <v>921</v>
      </c>
      <c r="F173" s="13">
        <v>4</v>
      </c>
      <c r="G173" s="157"/>
      <c r="H173" s="13"/>
      <c r="I173" s="13"/>
      <c r="J173" s="13">
        <f t="shared" si="56"/>
        <v>0</v>
      </c>
      <c r="K173" s="13">
        <v>5.0000000000000002E-5</v>
      </c>
      <c r="L173" s="13">
        <f t="shared" si="57"/>
        <v>2.0000000000000001E-4</v>
      </c>
      <c r="N173" s="23" t="s">
        <v>7</v>
      </c>
      <c r="O173" s="13">
        <f t="shared" si="58"/>
        <v>0</v>
      </c>
      <c r="Z173" s="13">
        <f t="shared" si="59"/>
        <v>0</v>
      </c>
      <c r="AA173" s="13">
        <f t="shared" si="60"/>
        <v>0</v>
      </c>
      <c r="AB173" s="13">
        <f t="shared" si="61"/>
        <v>0</v>
      </c>
      <c r="AD173" s="24">
        <v>21</v>
      </c>
      <c r="AE173" s="24">
        <f>G173*0.0687005901347289</f>
        <v>0</v>
      </c>
      <c r="AF173" s="24">
        <f>G173*(1-0.0687005901347289)</f>
        <v>0</v>
      </c>
    </row>
    <row r="174" spans="1:37">
      <c r="A174" s="6" t="s">
        <v>152</v>
      </c>
      <c r="B174" s="6" t="s">
        <v>310</v>
      </c>
      <c r="C174" s="6" t="s">
        <v>448</v>
      </c>
      <c r="D174" s="6" t="s">
        <v>742</v>
      </c>
      <c r="E174" s="6" t="s">
        <v>921</v>
      </c>
      <c r="F174" s="13">
        <v>3</v>
      </c>
      <c r="G174" s="157"/>
      <c r="H174" s="13"/>
      <c r="I174" s="13"/>
      <c r="J174" s="13">
        <f t="shared" si="56"/>
        <v>0</v>
      </c>
      <c r="K174" s="13">
        <v>5.0000000000000002E-5</v>
      </c>
      <c r="L174" s="13">
        <f t="shared" si="57"/>
        <v>1.5000000000000001E-4</v>
      </c>
      <c r="N174" s="23" t="s">
        <v>7</v>
      </c>
      <c r="O174" s="13">
        <f t="shared" si="58"/>
        <v>0</v>
      </c>
      <c r="Z174" s="13">
        <f t="shared" si="59"/>
        <v>0</v>
      </c>
      <c r="AA174" s="13">
        <f t="shared" si="60"/>
        <v>0</v>
      </c>
      <c r="AB174" s="13">
        <f t="shared" si="61"/>
        <v>0</v>
      </c>
      <c r="AD174" s="24">
        <v>21</v>
      </c>
      <c r="AE174" s="24">
        <f>G174*0.0902358214772949</f>
        <v>0</v>
      </c>
      <c r="AF174" s="24">
        <f>G174*(1-0.0902358214772949)</f>
        <v>0</v>
      </c>
    </row>
    <row r="175" spans="1:37">
      <c r="A175" s="6" t="s">
        <v>153</v>
      </c>
      <c r="B175" s="6" t="s">
        <v>310</v>
      </c>
      <c r="C175" s="6" t="s">
        <v>339</v>
      </c>
      <c r="D175" s="6" t="s">
        <v>629</v>
      </c>
      <c r="E175" s="6" t="s">
        <v>921</v>
      </c>
      <c r="F175" s="13">
        <v>5</v>
      </c>
      <c r="G175" s="157"/>
      <c r="H175" s="13"/>
      <c r="I175" s="13"/>
      <c r="J175" s="13">
        <f t="shared" si="56"/>
        <v>0</v>
      </c>
      <c r="K175" s="13">
        <v>7.5000000000000002E-4</v>
      </c>
      <c r="L175" s="13">
        <f t="shared" si="57"/>
        <v>3.7499999999999999E-3</v>
      </c>
      <c r="N175" s="23" t="s">
        <v>7</v>
      </c>
      <c r="O175" s="13">
        <f t="shared" si="58"/>
        <v>0</v>
      </c>
      <c r="Z175" s="13">
        <f t="shared" si="59"/>
        <v>0</v>
      </c>
      <c r="AA175" s="13">
        <f t="shared" si="60"/>
        <v>0</v>
      </c>
      <c r="AB175" s="13">
        <f t="shared" si="61"/>
        <v>0</v>
      </c>
      <c r="AD175" s="24">
        <v>21</v>
      </c>
      <c r="AE175" s="24">
        <f>G175*0.731100687247736</f>
        <v>0</v>
      </c>
      <c r="AF175" s="24">
        <f>G175*(1-0.731100687247736)</f>
        <v>0</v>
      </c>
    </row>
    <row r="176" spans="1:37">
      <c r="A176" s="6" t="s">
        <v>154</v>
      </c>
      <c r="B176" s="6" t="s">
        <v>310</v>
      </c>
      <c r="C176" s="6" t="s">
        <v>339</v>
      </c>
      <c r="D176" s="6" t="s">
        <v>743</v>
      </c>
      <c r="E176" s="6" t="s">
        <v>921</v>
      </c>
      <c r="F176" s="13">
        <v>2</v>
      </c>
      <c r="G176" s="157"/>
      <c r="H176" s="13"/>
      <c r="I176" s="13"/>
      <c r="J176" s="13">
        <f t="shared" si="56"/>
        <v>0</v>
      </c>
      <c r="K176" s="13">
        <v>7.5000000000000002E-4</v>
      </c>
      <c r="L176" s="13">
        <f t="shared" si="57"/>
        <v>1.5E-3</v>
      </c>
      <c r="N176" s="23" t="s">
        <v>7</v>
      </c>
      <c r="O176" s="13">
        <f t="shared" si="58"/>
        <v>0</v>
      </c>
      <c r="Z176" s="13">
        <f t="shared" si="59"/>
        <v>0</v>
      </c>
      <c r="AA176" s="13">
        <f t="shared" si="60"/>
        <v>0</v>
      </c>
      <c r="AB176" s="13">
        <f t="shared" si="61"/>
        <v>0</v>
      </c>
      <c r="AD176" s="24">
        <v>21</v>
      </c>
      <c r="AE176" s="24">
        <f>G176*0.890446067465667</f>
        <v>0</v>
      </c>
      <c r="AF176" s="24">
        <f>G176*(1-0.890446067465667)</f>
        <v>0</v>
      </c>
    </row>
    <row r="177" spans="1:37">
      <c r="A177" s="6" t="s">
        <v>155</v>
      </c>
      <c r="B177" s="6" t="s">
        <v>310</v>
      </c>
      <c r="C177" s="6" t="s">
        <v>449</v>
      </c>
      <c r="D177" s="6" t="s">
        <v>744</v>
      </c>
      <c r="E177" s="6" t="s">
        <v>921</v>
      </c>
      <c r="F177" s="13">
        <v>13</v>
      </c>
      <c r="G177" s="157"/>
      <c r="H177" s="13"/>
      <c r="I177" s="13"/>
      <c r="J177" s="13">
        <f t="shared" si="56"/>
        <v>0</v>
      </c>
      <c r="K177" s="13">
        <v>2.7E-4</v>
      </c>
      <c r="L177" s="13">
        <f t="shared" si="57"/>
        <v>3.5100000000000001E-3</v>
      </c>
      <c r="N177" s="23" t="s">
        <v>7</v>
      </c>
      <c r="O177" s="13">
        <f t="shared" si="58"/>
        <v>0</v>
      </c>
      <c r="Z177" s="13">
        <f t="shared" si="59"/>
        <v>0</v>
      </c>
      <c r="AA177" s="13">
        <f t="shared" si="60"/>
        <v>0</v>
      </c>
      <c r="AB177" s="13">
        <f t="shared" si="61"/>
        <v>0</v>
      </c>
      <c r="AD177" s="24">
        <v>21</v>
      </c>
      <c r="AE177" s="24">
        <f>G177*0.257592592592593</f>
        <v>0</v>
      </c>
      <c r="AF177" s="24">
        <f>G177*(1-0.257592592592593)</f>
        <v>0</v>
      </c>
    </row>
    <row r="178" spans="1:37">
      <c r="A178" s="6" t="s">
        <v>156</v>
      </c>
      <c r="B178" s="6" t="s">
        <v>310</v>
      </c>
      <c r="C178" s="6" t="s">
        <v>450</v>
      </c>
      <c r="D178" s="6" t="s">
        <v>745</v>
      </c>
      <c r="E178" s="6" t="s">
        <v>921</v>
      </c>
      <c r="F178" s="13">
        <v>7</v>
      </c>
      <c r="G178" s="157"/>
      <c r="H178" s="13"/>
      <c r="I178" s="13"/>
      <c r="J178" s="13">
        <f t="shared" si="56"/>
        <v>0</v>
      </c>
      <c r="K178" s="13">
        <v>1.8699999999999999E-3</v>
      </c>
      <c r="L178" s="13">
        <f t="shared" si="57"/>
        <v>1.3089999999999999E-2</v>
      </c>
      <c r="N178" s="23" t="s">
        <v>7</v>
      </c>
      <c r="O178" s="13">
        <f t="shared" si="58"/>
        <v>0</v>
      </c>
      <c r="Z178" s="13">
        <f t="shared" si="59"/>
        <v>0</v>
      </c>
      <c r="AA178" s="13">
        <f t="shared" si="60"/>
        <v>0</v>
      </c>
      <c r="AB178" s="13">
        <f t="shared" si="61"/>
        <v>0</v>
      </c>
      <c r="AD178" s="24">
        <v>21</v>
      </c>
      <c r="AE178" s="24">
        <f>G178*0.836120481638435</f>
        <v>0</v>
      </c>
      <c r="AF178" s="24">
        <f>G178*(1-0.836120481638435)</f>
        <v>0</v>
      </c>
    </row>
    <row r="179" spans="1:37">
      <c r="A179" s="6" t="s">
        <v>157</v>
      </c>
      <c r="B179" s="6" t="s">
        <v>310</v>
      </c>
      <c r="C179" s="6" t="s">
        <v>451</v>
      </c>
      <c r="D179" s="6" t="s">
        <v>746</v>
      </c>
      <c r="E179" s="6" t="s">
        <v>921</v>
      </c>
      <c r="F179" s="13">
        <v>7</v>
      </c>
      <c r="G179" s="157"/>
      <c r="H179" s="13"/>
      <c r="I179" s="13"/>
      <c r="J179" s="13">
        <f t="shared" si="56"/>
        <v>0</v>
      </c>
      <c r="K179" s="13">
        <v>3.5E-4</v>
      </c>
      <c r="L179" s="13">
        <f t="shared" si="57"/>
        <v>2.4499999999999999E-3</v>
      </c>
      <c r="N179" s="23" t="s">
        <v>7</v>
      </c>
      <c r="O179" s="13">
        <f t="shared" si="58"/>
        <v>0</v>
      </c>
      <c r="Z179" s="13">
        <f t="shared" si="59"/>
        <v>0</v>
      </c>
      <c r="AA179" s="13">
        <f t="shared" si="60"/>
        <v>0</v>
      </c>
      <c r="AB179" s="13">
        <f t="shared" si="61"/>
        <v>0</v>
      </c>
      <c r="AD179" s="24">
        <v>21</v>
      </c>
      <c r="AE179" s="24">
        <f>G179*0.471304439690463</f>
        <v>0</v>
      </c>
      <c r="AF179" s="24">
        <f>G179*(1-0.471304439690463)</f>
        <v>0</v>
      </c>
    </row>
    <row r="180" spans="1:37">
      <c r="A180" s="6" t="s">
        <v>158</v>
      </c>
      <c r="B180" s="6" t="s">
        <v>310</v>
      </c>
      <c r="C180" s="6" t="s">
        <v>452</v>
      </c>
      <c r="D180" s="6" t="s">
        <v>747</v>
      </c>
      <c r="E180" s="6" t="s">
        <v>921</v>
      </c>
      <c r="F180" s="13">
        <v>6</v>
      </c>
      <c r="G180" s="157"/>
      <c r="H180" s="13"/>
      <c r="I180" s="13"/>
      <c r="J180" s="13">
        <f t="shared" si="56"/>
        <v>0</v>
      </c>
      <c r="K180" s="13">
        <v>5.1000000000000004E-4</v>
      </c>
      <c r="L180" s="13">
        <f t="shared" si="57"/>
        <v>3.0600000000000002E-3</v>
      </c>
      <c r="N180" s="23" t="s">
        <v>7</v>
      </c>
      <c r="O180" s="13">
        <f t="shared" si="58"/>
        <v>0</v>
      </c>
      <c r="Z180" s="13">
        <f t="shared" si="59"/>
        <v>0</v>
      </c>
      <c r="AA180" s="13">
        <f t="shared" si="60"/>
        <v>0</v>
      </c>
      <c r="AB180" s="13">
        <f t="shared" si="61"/>
        <v>0</v>
      </c>
      <c r="AD180" s="24">
        <v>21</v>
      </c>
      <c r="AE180" s="24">
        <f>G180*0.54127284183995</f>
        <v>0</v>
      </c>
      <c r="AF180" s="24">
        <f>G180*(1-0.54127284183995)</f>
        <v>0</v>
      </c>
    </row>
    <row r="181" spans="1:37">
      <c r="A181" s="6" t="s">
        <v>159</v>
      </c>
      <c r="B181" s="6" t="s">
        <v>310</v>
      </c>
      <c r="C181" s="6" t="s">
        <v>341</v>
      </c>
      <c r="D181" s="6" t="s">
        <v>631</v>
      </c>
      <c r="E181" s="6" t="s">
        <v>919</v>
      </c>
      <c r="F181" s="13">
        <v>1</v>
      </c>
      <c r="G181" s="157"/>
      <c r="H181" s="13"/>
      <c r="I181" s="13"/>
      <c r="J181" s="13">
        <f t="shared" si="56"/>
        <v>0</v>
      </c>
      <c r="K181" s="13">
        <v>0</v>
      </c>
      <c r="L181" s="13">
        <f t="shared" si="57"/>
        <v>0</v>
      </c>
      <c r="N181" s="23" t="s">
        <v>11</v>
      </c>
      <c r="O181" s="13">
        <f t="shared" si="58"/>
        <v>0</v>
      </c>
      <c r="Z181" s="13">
        <f t="shared" si="59"/>
        <v>0</v>
      </c>
      <c r="AA181" s="13">
        <f t="shared" si="60"/>
        <v>0</v>
      </c>
      <c r="AB181" s="13">
        <f t="shared" si="61"/>
        <v>0</v>
      </c>
      <c r="AD181" s="24">
        <v>21</v>
      </c>
      <c r="AE181" s="24">
        <f>G181*0</f>
        <v>0</v>
      </c>
      <c r="AF181" s="24">
        <f>G181*(1-0)</f>
        <v>0</v>
      </c>
    </row>
    <row r="182" spans="1:37">
      <c r="A182" s="4"/>
      <c r="B182" s="4"/>
      <c r="C182" s="114" t="s">
        <v>453</v>
      </c>
      <c r="D182" s="135" t="s">
        <v>748</v>
      </c>
      <c r="E182" s="136"/>
      <c r="F182" s="136"/>
      <c r="G182" s="155"/>
      <c r="H182" s="26"/>
      <c r="I182" s="26"/>
      <c r="J182" s="26"/>
      <c r="K182" s="19"/>
      <c r="L182" s="26">
        <f>SUM(L183:L194)</f>
        <v>5.4809999999999998E-2</v>
      </c>
      <c r="P182" s="26">
        <f>IF(Q182="PR",J182,SUM(O183:O194))</f>
        <v>0</v>
      </c>
      <c r="Q182" s="19" t="s">
        <v>953</v>
      </c>
      <c r="R182" s="26">
        <f>IF(Q182="HS",H182,0)</f>
        <v>0</v>
      </c>
      <c r="S182" s="26">
        <f>IF(Q182="HS",I182-P182,0)</f>
        <v>0</v>
      </c>
      <c r="T182" s="26">
        <f>IF(Q182="PS",H182,0)</f>
        <v>0</v>
      </c>
      <c r="U182" s="26">
        <f>IF(Q182="PS",I182-P182,0)</f>
        <v>0</v>
      </c>
      <c r="V182" s="26">
        <f>IF(Q182="MP",H182,0)</f>
        <v>0</v>
      </c>
      <c r="W182" s="26">
        <f>IF(Q182="MP",I182-P182,0)</f>
        <v>0</v>
      </c>
      <c r="X182" s="26">
        <f>IF(Q182="OM",H182,0)</f>
        <v>0</v>
      </c>
      <c r="Y182" s="19" t="s">
        <v>310</v>
      </c>
      <c r="AI182" s="26">
        <f>SUM(Z183:Z194)</f>
        <v>0</v>
      </c>
      <c r="AJ182" s="26">
        <f>SUM(AA183:AA194)</f>
        <v>0</v>
      </c>
      <c r="AK182" s="26">
        <f>SUM(AB183:AB194)</f>
        <v>0</v>
      </c>
    </row>
    <row r="183" spans="1:37">
      <c r="A183" s="5" t="s">
        <v>160</v>
      </c>
      <c r="B183" s="5" t="s">
        <v>310</v>
      </c>
      <c r="C183" s="5" t="s">
        <v>454</v>
      </c>
      <c r="D183" s="5" t="s">
        <v>749</v>
      </c>
      <c r="E183" s="5" t="s">
        <v>921</v>
      </c>
      <c r="F183" s="12">
        <v>10</v>
      </c>
      <c r="G183" s="156"/>
      <c r="H183" s="12"/>
      <c r="I183" s="12"/>
      <c r="J183" s="12">
        <f t="shared" ref="J183:J194" si="64">ROUND(F183*G183,2)</f>
        <v>0</v>
      </c>
      <c r="K183" s="12">
        <v>5.0000000000000002E-5</v>
      </c>
      <c r="L183" s="12">
        <f t="shared" ref="L183:L194" si="65">F183*K183</f>
        <v>5.0000000000000001E-4</v>
      </c>
      <c r="N183" s="22" t="s">
        <v>950</v>
      </c>
      <c r="O183" s="12">
        <f t="shared" ref="O183:O194" si="66">IF(N183="5",I183,0)</f>
        <v>0</v>
      </c>
      <c r="Z183" s="12">
        <f t="shared" ref="Z183:Z194" si="67">IF(AD183=0,J183,0)</f>
        <v>0</v>
      </c>
      <c r="AA183" s="12">
        <f t="shared" ref="AA183:AA194" si="68">IF(AD183=15,J183,0)</f>
        <v>0</v>
      </c>
      <c r="AB183" s="12">
        <f t="shared" ref="AB183:AB194" si="69">IF(AD183=21,J183,0)</f>
        <v>0</v>
      </c>
      <c r="AD183" s="24">
        <v>21</v>
      </c>
      <c r="AE183" s="24">
        <f t="shared" ref="AE183:AE191" si="70">G183*1</f>
        <v>0</v>
      </c>
      <c r="AF183" s="24">
        <f t="shared" ref="AF183:AF191" si="71">G183*(1-1)</f>
        <v>0</v>
      </c>
    </row>
    <row r="184" spans="1:37">
      <c r="A184" s="5" t="s">
        <v>161</v>
      </c>
      <c r="B184" s="5" t="s">
        <v>310</v>
      </c>
      <c r="C184" s="5" t="s">
        <v>455</v>
      </c>
      <c r="D184" s="5" t="s">
        <v>750</v>
      </c>
      <c r="E184" s="5" t="s">
        <v>921</v>
      </c>
      <c r="F184" s="12">
        <v>6</v>
      </c>
      <c r="G184" s="156"/>
      <c r="H184" s="12"/>
      <c r="I184" s="12"/>
      <c r="J184" s="12">
        <f t="shared" si="64"/>
        <v>0</v>
      </c>
      <c r="K184" s="12">
        <v>5.0000000000000002E-5</v>
      </c>
      <c r="L184" s="12">
        <f t="shared" si="65"/>
        <v>3.0000000000000003E-4</v>
      </c>
      <c r="N184" s="22" t="s">
        <v>950</v>
      </c>
      <c r="O184" s="12">
        <f t="shared" si="66"/>
        <v>0</v>
      </c>
      <c r="Z184" s="12">
        <f t="shared" si="67"/>
        <v>0</v>
      </c>
      <c r="AA184" s="12">
        <f t="shared" si="68"/>
        <v>0</v>
      </c>
      <c r="AB184" s="12">
        <f t="shared" si="69"/>
        <v>0</v>
      </c>
      <c r="AD184" s="24">
        <v>21</v>
      </c>
      <c r="AE184" s="24">
        <f t="shared" si="70"/>
        <v>0</v>
      </c>
      <c r="AF184" s="24">
        <f t="shared" si="71"/>
        <v>0</v>
      </c>
    </row>
    <row r="185" spans="1:37">
      <c r="A185" s="5" t="s">
        <v>162</v>
      </c>
      <c r="B185" s="5" t="s">
        <v>310</v>
      </c>
      <c r="C185" s="5" t="s">
        <v>456</v>
      </c>
      <c r="D185" s="5" t="s">
        <v>751</v>
      </c>
      <c r="E185" s="5" t="s">
        <v>921</v>
      </c>
      <c r="F185" s="12">
        <v>48</v>
      </c>
      <c r="G185" s="156"/>
      <c r="H185" s="12"/>
      <c r="I185" s="12"/>
      <c r="J185" s="12">
        <f t="shared" si="64"/>
        <v>0</v>
      </c>
      <c r="K185" s="12">
        <v>6.0000000000000002E-5</v>
      </c>
      <c r="L185" s="12">
        <f t="shared" si="65"/>
        <v>2.8800000000000002E-3</v>
      </c>
      <c r="N185" s="22" t="s">
        <v>950</v>
      </c>
      <c r="O185" s="12">
        <f t="shared" si="66"/>
        <v>0</v>
      </c>
      <c r="Z185" s="12">
        <f t="shared" si="67"/>
        <v>0</v>
      </c>
      <c r="AA185" s="12">
        <f t="shared" si="68"/>
        <v>0</v>
      </c>
      <c r="AB185" s="12">
        <f t="shared" si="69"/>
        <v>0</v>
      </c>
      <c r="AD185" s="24">
        <v>21</v>
      </c>
      <c r="AE185" s="24">
        <f t="shared" si="70"/>
        <v>0</v>
      </c>
      <c r="AF185" s="24">
        <f t="shared" si="71"/>
        <v>0</v>
      </c>
    </row>
    <row r="186" spans="1:37">
      <c r="A186" s="5" t="s">
        <v>163</v>
      </c>
      <c r="B186" s="5" t="s">
        <v>310</v>
      </c>
      <c r="C186" s="5" t="s">
        <v>457</v>
      </c>
      <c r="D186" s="5" t="s">
        <v>752</v>
      </c>
      <c r="E186" s="5" t="s">
        <v>921</v>
      </c>
      <c r="F186" s="12">
        <v>5</v>
      </c>
      <c r="G186" s="156"/>
      <c r="H186" s="12"/>
      <c r="I186" s="12"/>
      <c r="J186" s="12">
        <f t="shared" si="64"/>
        <v>0</v>
      </c>
      <c r="K186" s="12">
        <v>6.9999999999999994E-5</v>
      </c>
      <c r="L186" s="12">
        <f t="shared" si="65"/>
        <v>3.4999999999999994E-4</v>
      </c>
      <c r="N186" s="22" t="s">
        <v>950</v>
      </c>
      <c r="O186" s="12">
        <f t="shared" si="66"/>
        <v>0</v>
      </c>
      <c r="Z186" s="12">
        <f t="shared" si="67"/>
        <v>0</v>
      </c>
      <c r="AA186" s="12">
        <f t="shared" si="68"/>
        <v>0</v>
      </c>
      <c r="AB186" s="12">
        <f t="shared" si="69"/>
        <v>0</v>
      </c>
      <c r="AD186" s="24">
        <v>21</v>
      </c>
      <c r="AE186" s="24">
        <f t="shared" si="70"/>
        <v>0</v>
      </c>
      <c r="AF186" s="24">
        <f t="shared" si="71"/>
        <v>0</v>
      </c>
    </row>
    <row r="187" spans="1:37">
      <c r="A187" s="5" t="s">
        <v>164</v>
      </c>
      <c r="B187" s="5" t="s">
        <v>310</v>
      </c>
      <c r="C187" s="5" t="s">
        <v>458</v>
      </c>
      <c r="D187" s="5" t="s">
        <v>753</v>
      </c>
      <c r="E187" s="5" t="s">
        <v>921</v>
      </c>
      <c r="F187" s="12">
        <v>43</v>
      </c>
      <c r="G187" s="156"/>
      <c r="H187" s="12"/>
      <c r="I187" s="12"/>
      <c r="J187" s="12">
        <f t="shared" si="64"/>
        <v>0</v>
      </c>
      <c r="K187" s="12">
        <v>8.0000000000000007E-5</v>
      </c>
      <c r="L187" s="12">
        <f t="shared" si="65"/>
        <v>3.4400000000000003E-3</v>
      </c>
      <c r="N187" s="22" t="s">
        <v>950</v>
      </c>
      <c r="O187" s="12">
        <f t="shared" si="66"/>
        <v>0</v>
      </c>
      <c r="Z187" s="12">
        <f t="shared" si="67"/>
        <v>0</v>
      </c>
      <c r="AA187" s="12">
        <f t="shared" si="68"/>
        <v>0</v>
      </c>
      <c r="AB187" s="12">
        <f t="shared" si="69"/>
        <v>0</v>
      </c>
      <c r="AD187" s="24">
        <v>21</v>
      </c>
      <c r="AE187" s="24">
        <f t="shared" si="70"/>
        <v>0</v>
      </c>
      <c r="AF187" s="24">
        <f t="shared" si="71"/>
        <v>0</v>
      </c>
    </row>
    <row r="188" spans="1:37">
      <c r="A188" s="5" t="s">
        <v>165</v>
      </c>
      <c r="B188" s="5" t="s">
        <v>310</v>
      </c>
      <c r="C188" s="5" t="s">
        <v>459</v>
      </c>
      <c r="D188" s="5" t="s">
        <v>754</v>
      </c>
      <c r="E188" s="5" t="s">
        <v>921</v>
      </c>
      <c r="F188" s="12">
        <v>48</v>
      </c>
      <c r="G188" s="156"/>
      <c r="H188" s="12"/>
      <c r="I188" s="12"/>
      <c r="J188" s="12">
        <f t="shared" si="64"/>
        <v>0</v>
      </c>
      <c r="K188" s="12">
        <v>1E-4</v>
      </c>
      <c r="L188" s="12">
        <f t="shared" si="65"/>
        <v>4.8000000000000004E-3</v>
      </c>
      <c r="N188" s="22" t="s">
        <v>950</v>
      </c>
      <c r="O188" s="12">
        <f t="shared" si="66"/>
        <v>0</v>
      </c>
      <c r="Z188" s="12">
        <f t="shared" si="67"/>
        <v>0</v>
      </c>
      <c r="AA188" s="12">
        <f t="shared" si="68"/>
        <v>0</v>
      </c>
      <c r="AB188" s="12">
        <f t="shared" si="69"/>
        <v>0</v>
      </c>
      <c r="AD188" s="24">
        <v>21</v>
      </c>
      <c r="AE188" s="24">
        <f t="shared" si="70"/>
        <v>0</v>
      </c>
      <c r="AF188" s="24">
        <f t="shared" si="71"/>
        <v>0</v>
      </c>
    </row>
    <row r="189" spans="1:37">
      <c r="A189" s="5" t="s">
        <v>166</v>
      </c>
      <c r="B189" s="5" t="s">
        <v>310</v>
      </c>
      <c r="C189" s="5" t="s">
        <v>460</v>
      </c>
      <c r="D189" s="5" t="s">
        <v>755</v>
      </c>
      <c r="E189" s="5" t="s">
        <v>921</v>
      </c>
      <c r="F189" s="12">
        <v>15</v>
      </c>
      <c r="G189" s="156"/>
      <c r="H189" s="12"/>
      <c r="I189" s="12"/>
      <c r="J189" s="12">
        <f t="shared" si="64"/>
        <v>0</v>
      </c>
      <c r="K189" s="12">
        <v>1.6000000000000001E-4</v>
      </c>
      <c r="L189" s="12">
        <f t="shared" si="65"/>
        <v>2.4000000000000002E-3</v>
      </c>
      <c r="N189" s="22" t="s">
        <v>950</v>
      </c>
      <c r="O189" s="12">
        <f t="shared" si="66"/>
        <v>0</v>
      </c>
      <c r="Z189" s="12">
        <f t="shared" si="67"/>
        <v>0</v>
      </c>
      <c r="AA189" s="12">
        <f t="shared" si="68"/>
        <v>0</v>
      </c>
      <c r="AB189" s="12">
        <f t="shared" si="69"/>
        <v>0</v>
      </c>
      <c r="AD189" s="24">
        <v>21</v>
      </c>
      <c r="AE189" s="24">
        <f t="shared" si="70"/>
        <v>0</v>
      </c>
      <c r="AF189" s="24">
        <f t="shared" si="71"/>
        <v>0</v>
      </c>
    </row>
    <row r="190" spans="1:37">
      <c r="A190" s="5" t="s">
        <v>167</v>
      </c>
      <c r="B190" s="5" t="s">
        <v>310</v>
      </c>
      <c r="C190" s="5" t="s">
        <v>461</v>
      </c>
      <c r="D190" s="5" t="s">
        <v>756</v>
      </c>
      <c r="E190" s="5" t="s">
        <v>921</v>
      </c>
      <c r="F190" s="12">
        <v>4</v>
      </c>
      <c r="G190" s="156"/>
      <c r="H190" s="12"/>
      <c r="I190" s="12"/>
      <c r="J190" s="12">
        <f t="shared" si="64"/>
        <v>0</v>
      </c>
      <c r="K190" s="12">
        <v>1.9000000000000001E-4</v>
      </c>
      <c r="L190" s="12">
        <f t="shared" si="65"/>
        <v>7.6000000000000004E-4</v>
      </c>
      <c r="N190" s="22" t="s">
        <v>950</v>
      </c>
      <c r="O190" s="12">
        <f t="shared" si="66"/>
        <v>0</v>
      </c>
      <c r="Z190" s="12">
        <f t="shared" si="67"/>
        <v>0</v>
      </c>
      <c r="AA190" s="12">
        <f t="shared" si="68"/>
        <v>0</v>
      </c>
      <c r="AB190" s="12">
        <f t="shared" si="69"/>
        <v>0</v>
      </c>
      <c r="AD190" s="24">
        <v>21</v>
      </c>
      <c r="AE190" s="24">
        <f t="shared" si="70"/>
        <v>0</v>
      </c>
      <c r="AF190" s="24">
        <f t="shared" si="71"/>
        <v>0</v>
      </c>
    </row>
    <row r="191" spans="1:37">
      <c r="A191" s="5" t="s">
        <v>168</v>
      </c>
      <c r="B191" s="5" t="s">
        <v>310</v>
      </c>
      <c r="C191" s="5" t="s">
        <v>462</v>
      </c>
      <c r="D191" s="5" t="s">
        <v>757</v>
      </c>
      <c r="E191" s="5" t="s">
        <v>921</v>
      </c>
      <c r="F191" s="12">
        <v>179</v>
      </c>
      <c r="G191" s="156"/>
      <c r="H191" s="12"/>
      <c r="I191" s="12"/>
      <c r="J191" s="12">
        <f t="shared" si="64"/>
        <v>0</v>
      </c>
      <c r="K191" s="12">
        <v>2.2000000000000001E-4</v>
      </c>
      <c r="L191" s="12">
        <f t="shared" si="65"/>
        <v>3.9379999999999998E-2</v>
      </c>
      <c r="N191" s="22" t="s">
        <v>950</v>
      </c>
      <c r="O191" s="12">
        <f t="shared" si="66"/>
        <v>0</v>
      </c>
      <c r="Z191" s="12">
        <f t="shared" si="67"/>
        <v>0</v>
      </c>
      <c r="AA191" s="12">
        <f t="shared" si="68"/>
        <v>0</v>
      </c>
      <c r="AB191" s="12">
        <f t="shared" si="69"/>
        <v>0</v>
      </c>
      <c r="AD191" s="24">
        <v>21</v>
      </c>
      <c r="AE191" s="24">
        <f t="shared" si="70"/>
        <v>0</v>
      </c>
      <c r="AF191" s="24">
        <f t="shared" si="71"/>
        <v>0</v>
      </c>
    </row>
    <row r="192" spans="1:37">
      <c r="A192" s="6" t="s">
        <v>169</v>
      </c>
      <c r="B192" s="6" t="s">
        <v>310</v>
      </c>
      <c r="C192" s="6" t="s">
        <v>463</v>
      </c>
      <c r="D192" s="6" t="s">
        <v>758</v>
      </c>
      <c r="E192" s="6" t="s">
        <v>921</v>
      </c>
      <c r="F192" s="13">
        <v>179</v>
      </c>
      <c r="G192" s="157"/>
      <c r="H192" s="13"/>
      <c r="I192" s="13"/>
      <c r="J192" s="13">
        <f t="shared" si="64"/>
        <v>0</v>
      </c>
      <c r="K192" s="13">
        <v>0</v>
      </c>
      <c r="L192" s="13">
        <f t="shared" si="65"/>
        <v>0</v>
      </c>
      <c r="N192" s="23" t="s">
        <v>7</v>
      </c>
      <c r="O192" s="13">
        <f t="shared" si="66"/>
        <v>0</v>
      </c>
      <c r="Z192" s="13">
        <f t="shared" si="67"/>
        <v>0</v>
      </c>
      <c r="AA192" s="13">
        <f t="shared" si="68"/>
        <v>0</v>
      </c>
      <c r="AB192" s="13">
        <f t="shared" si="69"/>
        <v>0</v>
      </c>
      <c r="AD192" s="24">
        <v>21</v>
      </c>
      <c r="AE192" s="24">
        <f>G192*0</f>
        <v>0</v>
      </c>
      <c r="AF192" s="24">
        <f>G192*(1-0)</f>
        <v>0</v>
      </c>
    </row>
    <row r="193" spans="1:37">
      <c r="A193" s="6" t="s">
        <v>170</v>
      </c>
      <c r="B193" s="6" t="s">
        <v>310</v>
      </c>
      <c r="C193" s="6" t="s">
        <v>464</v>
      </c>
      <c r="D193" s="6" t="s">
        <v>759</v>
      </c>
      <c r="E193" s="6" t="s">
        <v>928</v>
      </c>
      <c r="F193" s="13">
        <v>50</v>
      </c>
      <c r="G193" s="157"/>
      <c r="H193" s="13"/>
      <c r="I193" s="13"/>
      <c r="J193" s="13">
        <f t="shared" si="64"/>
        <v>0</v>
      </c>
      <c r="K193" s="13">
        <v>0</v>
      </c>
      <c r="L193" s="13">
        <f t="shared" si="65"/>
        <v>0</v>
      </c>
      <c r="N193" s="23" t="s">
        <v>7</v>
      </c>
      <c r="O193" s="13">
        <f t="shared" si="66"/>
        <v>0</v>
      </c>
      <c r="Z193" s="13">
        <f t="shared" si="67"/>
        <v>0</v>
      </c>
      <c r="AA193" s="13">
        <f t="shared" si="68"/>
        <v>0</v>
      </c>
      <c r="AB193" s="13">
        <f t="shared" si="69"/>
        <v>0</v>
      </c>
      <c r="AD193" s="24">
        <v>21</v>
      </c>
      <c r="AE193" s="24">
        <f>G193*0</f>
        <v>0</v>
      </c>
      <c r="AF193" s="24">
        <f>G193*(1-0)</f>
        <v>0</v>
      </c>
    </row>
    <row r="194" spans="1:37">
      <c r="A194" s="6" t="s">
        <v>171</v>
      </c>
      <c r="B194" s="6" t="s">
        <v>310</v>
      </c>
      <c r="C194" s="6" t="s">
        <v>465</v>
      </c>
      <c r="D194" s="6" t="s">
        <v>760</v>
      </c>
      <c r="E194" s="6" t="s">
        <v>919</v>
      </c>
      <c r="F194" s="13">
        <v>1</v>
      </c>
      <c r="G194" s="157"/>
      <c r="H194" s="13"/>
      <c r="I194" s="13"/>
      <c r="J194" s="13">
        <f t="shared" si="64"/>
        <v>0</v>
      </c>
      <c r="K194" s="13">
        <v>0</v>
      </c>
      <c r="L194" s="13">
        <f t="shared" si="65"/>
        <v>0</v>
      </c>
      <c r="N194" s="23" t="s">
        <v>11</v>
      </c>
      <c r="O194" s="13">
        <f t="shared" si="66"/>
        <v>0</v>
      </c>
      <c r="Z194" s="13">
        <f t="shared" si="67"/>
        <v>0</v>
      </c>
      <c r="AA194" s="13">
        <f t="shared" si="68"/>
        <v>0</v>
      </c>
      <c r="AB194" s="13">
        <f t="shared" si="69"/>
        <v>0</v>
      </c>
      <c r="AD194" s="24">
        <v>21</v>
      </c>
      <c r="AE194" s="24">
        <f>G194*0</f>
        <v>0</v>
      </c>
      <c r="AF194" s="24">
        <f>G194*(1-0)</f>
        <v>0</v>
      </c>
    </row>
    <row r="195" spans="1:37">
      <c r="A195" s="4"/>
      <c r="B195" s="4"/>
      <c r="C195" s="114" t="s">
        <v>466</v>
      </c>
      <c r="D195" s="135" t="s">
        <v>761</v>
      </c>
      <c r="E195" s="136"/>
      <c r="F195" s="136"/>
      <c r="G195" s="155"/>
      <c r="H195" s="26"/>
      <c r="I195" s="26"/>
      <c r="J195" s="26"/>
      <c r="K195" s="19"/>
      <c r="L195" s="26">
        <f>SUM(L196:L201)</f>
        <v>1.4934200000000002E-2</v>
      </c>
      <c r="P195" s="26">
        <f>IF(Q195="PR",J195,SUM(O196:O201))</f>
        <v>0</v>
      </c>
      <c r="Q195" s="19" t="s">
        <v>953</v>
      </c>
      <c r="R195" s="26">
        <f>IF(Q195="HS",H195,0)</f>
        <v>0</v>
      </c>
      <c r="S195" s="26">
        <f>IF(Q195="HS",I195-P195,0)</f>
        <v>0</v>
      </c>
      <c r="T195" s="26">
        <f>IF(Q195="PS",H195,0)</f>
        <v>0</v>
      </c>
      <c r="U195" s="26">
        <f>IF(Q195="PS",I195-P195,0)</f>
        <v>0</v>
      </c>
      <c r="V195" s="26">
        <f>IF(Q195="MP",H195,0)</f>
        <v>0</v>
      </c>
      <c r="W195" s="26">
        <f>IF(Q195="MP",I195-P195,0)</f>
        <v>0</v>
      </c>
      <c r="X195" s="26">
        <f>IF(Q195="OM",H195,0)</f>
        <v>0</v>
      </c>
      <c r="Y195" s="19" t="s">
        <v>310</v>
      </c>
      <c r="AI195" s="26">
        <f>SUM(Z196:Z201)</f>
        <v>0</v>
      </c>
      <c r="AJ195" s="26">
        <f>SUM(AA196:AA201)</f>
        <v>0</v>
      </c>
      <c r="AK195" s="26">
        <f>SUM(AB196:AB201)</f>
        <v>0</v>
      </c>
    </row>
    <row r="196" spans="1:37">
      <c r="A196" s="6" t="s">
        <v>172</v>
      </c>
      <c r="B196" s="6" t="s">
        <v>310</v>
      </c>
      <c r="C196" s="6" t="s">
        <v>467</v>
      </c>
      <c r="D196" s="6" t="s">
        <v>762</v>
      </c>
      <c r="E196" s="6" t="s">
        <v>919</v>
      </c>
      <c r="F196" s="13">
        <v>1</v>
      </c>
      <c r="G196" s="157"/>
      <c r="H196" s="13"/>
      <c r="I196" s="13"/>
      <c r="J196" s="13">
        <f t="shared" ref="J196:J201" si="72">ROUND(F196*G196,2)</f>
        <v>0</v>
      </c>
      <c r="K196" s="13">
        <v>0</v>
      </c>
      <c r="L196" s="13">
        <f t="shared" ref="L196:L201" si="73">F196*K196</f>
        <v>0</v>
      </c>
      <c r="N196" s="23" t="s">
        <v>7</v>
      </c>
      <c r="O196" s="13">
        <f t="shared" ref="O196:O201" si="74">IF(N196="5",I196,0)</f>
        <v>0</v>
      </c>
      <c r="Z196" s="13">
        <f t="shared" ref="Z196:Z201" si="75">IF(AD196=0,J196,0)</f>
        <v>0</v>
      </c>
      <c r="AA196" s="13">
        <f t="shared" ref="AA196:AA201" si="76">IF(AD196=15,J196,0)</f>
        <v>0</v>
      </c>
      <c r="AB196" s="13">
        <f t="shared" ref="AB196:AB201" si="77">IF(AD196=21,J196,0)</f>
        <v>0</v>
      </c>
      <c r="AD196" s="24">
        <v>21</v>
      </c>
      <c r="AE196" s="24">
        <f>G196*0</f>
        <v>0</v>
      </c>
      <c r="AF196" s="24">
        <f>G196*(1-0)</f>
        <v>0</v>
      </c>
    </row>
    <row r="197" spans="1:37">
      <c r="A197" s="6" t="s">
        <v>173</v>
      </c>
      <c r="B197" s="6" t="s">
        <v>310</v>
      </c>
      <c r="C197" s="6" t="s">
        <v>468</v>
      </c>
      <c r="D197" s="6" t="s">
        <v>763</v>
      </c>
      <c r="E197" s="6" t="s">
        <v>927</v>
      </c>
      <c r="F197" s="13">
        <v>60</v>
      </c>
      <c r="G197" s="157"/>
      <c r="H197" s="13"/>
      <c r="I197" s="13"/>
      <c r="J197" s="13">
        <f t="shared" si="72"/>
        <v>0</v>
      </c>
      <c r="K197" s="13">
        <v>0</v>
      </c>
      <c r="L197" s="13">
        <f t="shared" si="73"/>
        <v>0</v>
      </c>
      <c r="N197" s="23" t="s">
        <v>7</v>
      </c>
      <c r="O197" s="13">
        <f t="shared" si="74"/>
        <v>0</v>
      </c>
      <c r="Z197" s="13">
        <f t="shared" si="75"/>
        <v>0</v>
      </c>
      <c r="AA197" s="13">
        <f t="shared" si="76"/>
        <v>0</v>
      </c>
      <c r="AB197" s="13">
        <f t="shared" si="77"/>
        <v>0</v>
      </c>
      <c r="AD197" s="24">
        <v>21</v>
      </c>
      <c r="AE197" s="24">
        <f>G197*0.0965732087227414</f>
        <v>0</v>
      </c>
      <c r="AF197" s="24">
        <f>G197*(1-0.0965732087227414)</f>
        <v>0</v>
      </c>
    </row>
    <row r="198" spans="1:37">
      <c r="A198" s="6" t="s">
        <v>174</v>
      </c>
      <c r="B198" s="6" t="s">
        <v>310</v>
      </c>
      <c r="C198" s="6" t="s">
        <v>469</v>
      </c>
      <c r="D198" s="6" t="s">
        <v>764</v>
      </c>
      <c r="E198" s="6" t="s">
        <v>927</v>
      </c>
      <c r="F198" s="13">
        <v>140</v>
      </c>
      <c r="G198" s="157"/>
      <c r="H198" s="13"/>
      <c r="I198" s="13"/>
      <c r="J198" s="13">
        <f t="shared" si="72"/>
        <v>0</v>
      </c>
      <c r="K198" s="13">
        <v>9.0000000000000006E-5</v>
      </c>
      <c r="L198" s="13">
        <f t="shared" si="73"/>
        <v>1.26E-2</v>
      </c>
      <c r="N198" s="23" t="s">
        <v>7</v>
      </c>
      <c r="O198" s="13">
        <f t="shared" si="74"/>
        <v>0</v>
      </c>
      <c r="Z198" s="13">
        <f t="shared" si="75"/>
        <v>0</v>
      </c>
      <c r="AA198" s="13">
        <f t="shared" si="76"/>
        <v>0</v>
      </c>
      <c r="AB198" s="13">
        <f t="shared" si="77"/>
        <v>0</v>
      </c>
      <c r="AD198" s="24">
        <v>21</v>
      </c>
      <c r="AE198" s="24">
        <f>G198*0.696969696969697</f>
        <v>0</v>
      </c>
      <c r="AF198" s="24">
        <f>G198*(1-0.696969696969697)</f>
        <v>0</v>
      </c>
    </row>
    <row r="199" spans="1:37">
      <c r="A199" s="6" t="s">
        <v>175</v>
      </c>
      <c r="B199" s="6" t="s">
        <v>310</v>
      </c>
      <c r="C199" s="6" t="s">
        <v>470</v>
      </c>
      <c r="D199" s="6" t="s">
        <v>765</v>
      </c>
      <c r="E199" s="6" t="s">
        <v>927</v>
      </c>
      <c r="F199" s="13">
        <v>19</v>
      </c>
      <c r="G199" s="157"/>
      <c r="H199" s="13"/>
      <c r="I199" s="13"/>
      <c r="J199" s="13">
        <f t="shared" si="72"/>
        <v>0</v>
      </c>
      <c r="K199" s="13">
        <v>1.2E-4</v>
      </c>
      <c r="L199" s="13">
        <f t="shared" si="73"/>
        <v>2.2799999999999999E-3</v>
      </c>
      <c r="N199" s="23" t="s">
        <v>7</v>
      </c>
      <c r="O199" s="13">
        <f t="shared" si="74"/>
        <v>0</v>
      </c>
      <c r="Z199" s="13">
        <f t="shared" si="75"/>
        <v>0</v>
      </c>
      <c r="AA199" s="13">
        <f t="shared" si="76"/>
        <v>0</v>
      </c>
      <c r="AB199" s="13">
        <f t="shared" si="77"/>
        <v>0</v>
      </c>
      <c r="AD199" s="24">
        <v>21</v>
      </c>
      <c r="AE199" s="24">
        <f>G199*0.8</f>
        <v>0</v>
      </c>
      <c r="AF199" s="24">
        <f>G199*(1-0.8)</f>
        <v>0</v>
      </c>
    </row>
    <row r="200" spans="1:37">
      <c r="A200" s="6" t="s">
        <v>176</v>
      </c>
      <c r="B200" s="6" t="s">
        <v>310</v>
      </c>
      <c r="C200" s="6" t="s">
        <v>471</v>
      </c>
      <c r="D200" s="6" t="s">
        <v>766</v>
      </c>
      <c r="E200" s="6" t="s">
        <v>929</v>
      </c>
      <c r="F200" s="13">
        <v>5.42</v>
      </c>
      <c r="G200" s="157"/>
      <c r="H200" s="13"/>
      <c r="I200" s="13"/>
      <c r="J200" s="13">
        <f t="shared" si="72"/>
        <v>0</v>
      </c>
      <c r="K200" s="13">
        <v>1.0000000000000001E-5</v>
      </c>
      <c r="L200" s="13">
        <f t="shared" si="73"/>
        <v>5.4200000000000003E-5</v>
      </c>
      <c r="N200" s="23" t="s">
        <v>7</v>
      </c>
      <c r="O200" s="13">
        <f t="shared" si="74"/>
        <v>0</v>
      </c>
      <c r="Z200" s="13">
        <f t="shared" si="75"/>
        <v>0</v>
      </c>
      <c r="AA200" s="13">
        <f t="shared" si="76"/>
        <v>0</v>
      </c>
      <c r="AB200" s="13">
        <f t="shared" si="77"/>
        <v>0</v>
      </c>
      <c r="AD200" s="24">
        <v>21</v>
      </c>
      <c r="AE200" s="24">
        <f>G200*0.0745131244707875</f>
        <v>0</v>
      </c>
      <c r="AF200" s="24">
        <f>G200*(1-0.0745131244707875)</f>
        <v>0</v>
      </c>
    </row>
    <row r="201" spans="1:37">
      <c r="A201" s="6" t="s">
        <v>177</v>
      </c>
      <c r="B201" s="6" t="s">
        <v>310</v>
      </c>
      <c r="C201" s="6" t="s">
        <v>472</v>
      </c>
      <c r="D201" s="6" t="s">
        <v>767</v>
      </c>
      <c r="E201" s="6" t="s">
        <v>930</v>
      </c>
      <c r="F201" s="13">
        <v>1.4930000000000001E-2</v>
      </c>
      <c r="G201" s="157"/>
      <c r="H201" s="13"/>
      <c r="I201" s="13"/>
      <c r="J201" s="13">
        <f t="shared" si="72"/>
        <v>0</v>
      </c>
      <c r="K201" s="13">
        <v>0</v>
      </c>
      <c r="L201" s="13">
        <f t="shared" si="73"/>
        <v>0</v>
      </c>
      <c r="N201" s="23" t="s">
        <v>11</v>
      </c>
      <c r="O201" s="13">
        <f t="shared" si="74"/>
        <v>0</v>
      </c>
      <c r="Z201" s="13">
        <f t="shared" si="75"/>
        <v>0</v>
      </c>
      <c r="AA201" s="13">
        <f t="shared" si="76"/>
        <v>0</v>
      </c>
      <c r="AB201" s="13">
        <f t="shared" si="77"/>
        <v>0</v>
      </c>
      <c r="AD201" s="24">
        <v>21</v>
      </c>
      <c r="AE201" s="24">
        <f>G201*0</f>
        <v>0</v>
      </c>
      <c r="AF201" s="24">
        <f>G201*(1-0)</f>
        <v>0</v>
      </c>
    </row>
    <row r="202" spans="1:37">
      <c r="A202" s="4"/>
      <c r="B202" s="4"/>
      <c r="C202" s="114" t="s">
        <v>473</v>
      </c>
      <c r="D202" s="135" t="s">
        <v>768</v>
      </c>
      <c r="E202" s="136"/>
      <c r="F202" s="136"/>
      <c r="G202" s="155"/>
      <c r="H202" s="26"/>
      <c r="I202" s="26"/>
      <c r="J202" s="26"/>
      <c r="K202" s="19"/>
      <c r="L202" s="26">
        <f>SUM(L203:L212)</f>
        <v>0.14393499999999998</v>
      </c>
      <c r="P202" s="26">
        <f>IF(Q202="PR",J202,SUM(O203:O212))</f>
        <v>0</v>
      </c>
      <c r="Q202" s="19" t="s">
        <v>954</v>
      </c>
      <c r="R202" s="26">
        <f>IF(Q202="HS",H202,0)</f>
        <v>0</v>
      </c>
      <c r="S202" s="26">
        <f>IF(Q202="HS",I202-P202,0)</f>
        <v>0</v>
      </c>
      <c r="T202" s="26">
        <f>IF(Q202="PS",H202,0)</f>
        <v>0</v>
      </c>
      <c r="U202" s="26">
        <f>IF(Q202="PS",I202-P202,0)</f>
        <v>0</v>
      </c>
      <c r="V202" s="26">
        <f>IF(Q202="MP",H202,0)</f>
        <v>0</v>
      </c>
      <c r="W202" s="26">
        <f>IF(Q202="MP",I202-P202,0)</f>
        <v>0</v>
      </c>
      <c r="X202" s="26">
        <f>IF(Q202="OM",H202,0)</f>
        <v>0</v>
      </c>
      <c r="Y202" s="19" t="s">
        <v>310</v>
      </c>
      <c r="AI202" s="26">
        <f>SUM(Z203:Z212)</f>
        <v>0</v>
      </c>
      <c r="AJ202" s="26">
        <f>SUM(AA203:AA212)</f>
        <v>0</v>
      </c>
      <c r="AK202" s="26">
        <f>SUM(AB203:AB212)</f>
        <v>0</v>
      </c>
    </row>
    <row r="203" spans="1:37">
      <c r="A203" s="5" t="s">
        <v>178</v>
      </c>
      <c r="B203" s="5" t="s">
        <v>310</v>
      </c>
      <c r="C203" s="5" t="s">
        <v>475</v>
      </c>
      <c r="D203" s="5" t="s">
        <v>770</v>
      </c>
      <c r="E203" s="5" t="s">
        <v>927</v>
      </c>
      <c r="F203" s="12">
        <v>6.19</v>
      </c>
      <c r="G203" s="156"/>
      <c r="H203" s="12"/>
      <c r="I203" s="12"/>
      <c r="J203" s="12">
        <f t="shared" ref="J203:J212" si="78">ROUND(F203*G203,2)</f>
        <v>0</v>
      </c>
      <c r="K203" s="12">
        <v>3.5E-4</v>
      </c>
      <c r="L203" s="12">
        <f t="shared" ref="L203:L212" si="79">F203*K203</f>
        <v>2.1665E-3</v>
      </c>
      <c r="N203" s="22" t="s">
        <v>950</v>
      </c>
      <c r="O203" s="12">
        <f t="shared" ref="O203:O212" si="80">IF(N203="5",I203,0)</f>
        <v>0</v>
      </c>
      <c r="Z203" s="12">
        <f t="shared" ref="Z203:Z212" si="81">IF(AD203=0,J203,0)</f>
        <v>0</v>
      </c>
      <c r="AA203" s="12">
        <f t="shared" ref="AA203:AA212" si="82">IF(AD203=15,J203,0)</f>
        <v>0</v>
      </c>
      <c r="AB203" s="12">
        <f t="shared" ref="AB203:AB212" si="83">IF(AD203=21,J203,0)</f>
        <v>0</v>
      </c>
      <c r="AD203" s="24">
        <v>21</v>
      </c>
      <c r="AE203" s="24">
        <f>G203*1</f>
        <v>0</v>
      </c>
      <c r="AF203" s="24">
        <f>G203*(1-1)</f>
        <v>0</v>
      </c>
    </row>
    <row r="204" spans="1:37">
      <c r="A204" s="5" t="s">
        <v>179</v>
      </c>
      <c r="B204" s="5" t="s">
        <v>310</v>
      </c>
      <c r="C204" s="5" t="s">
        <v>476</v>
      </c>
      <c r="D204" s="5" t="s">
        <v>771</v>
      </c>
      <c r="E204" s="5" t="s">
        <v>927</v>
      </c>
      <c r="F204" s="12">
        <v>3.09</v>
      </c>
      <c r="G204" s="156"/>
      <c r="H204" s="12"/>
      <c r="I204" s="12"/>
      <c r="J204" s="12">
        <f t="shared" si="78"/>
        <v>0</v>
      </c>
      <c r="K204" s="12">
        <v>5.2999999999999998E-4</v>
      </c>
      <c r="L204" s="12">
        <f t="shared" si="79"/>
        <v>1.6377E-3</v>
      </c>
      <c r="N204" s="22" t="s">
        <v>950</v>
      </c>
      <c r="O204" s="12">
        <f t="shared" si="80"/>
        <v>0</v>
      </c>
      <c r="Z204" s="12">
        <f t="shared" si="81"/>
        <v>0</v>
      </c>
      <c r="AA204" s="12">
        <f t="shared" si="82"/>
        <v>0</v>
      </c>
      <c r="AB204" s="12">
        <f t="shared" si="83"/>
        <v>0</v>
      </c>
      <c r="AD204" s="24">
        <v>21</v>
      </c>
      <c r="AE204" s="24">
        <f>G204*1</f>
        <v>0</v>
      </c>
      <c r="AF204" s="24">
        <f>G204*(1-1)</f>
        <v>0</v>
      </c>
    </row>
    <row r="205" spans="1:37">
      <c r="A205" s="5" t="s">
        <v>180</v>
      </c>
      <c r="B205" s="5" t="s">
        <v>310</v>
      </c>
      <c r="C205" s="5" t="s">
        <v>477</v>
      </c>
      <c r="D205" s="5" t="s">
        <v>772</v>
      </c>
      <c r="E205" s="5" t="s">
        <v>927</v>
      </c>
      <c r="F205" s="12">
        <v>19.59</v>
      </c>
      <c r="G205" s="156"/>
      <c r="H205" s="12"/>
      <c r="I205" s="12"/>
      <c r="J205" s="12">
        <f t="shared" si="78"/>
        <v>0</v>
      </c>
      <c r="K205" s="12">
        <v>5.9999999999999995E-4</v>
      </c>
      <c r="L205" s="12">
        <f t="shared" si="79"/>
        <v>1.1753999999999999E-2</v>
      </c>
      <c r="N205" s="22" t="s">
        <v>950</v>
      </c>
      <c r="O205" s="12">
        <f t="shared" si="80"/>
        <v>0</v>
      </c>
      <c r="Z205" s="12">
        <f t="shared" si="81"/>
        <v>0</v>
      </c>
      <c r="AA205" s="12">
        <f t="shared" si="82"/>
        <v>0</v>
      </c>
      <c r="AB205" s="12">
        <f t="shared" si="83"/>
        <v>0</v>
      </c>
      <c r="AD205" s="24">
        <v>21</v>
      </c>
      <c r="AE205" s="24">
        <f>G205*1</f>
        <v>0</v>
      </c>
      <c r="AF205" s="24">
        <f>G205*(1-1)</f>
        <v>0</v>
      </c>
    </row>
    <row r="206" spans="1:37">
      <c r="A206" s="5" t="s">
        <v>181</v>
      </c>
      <c r="B206" s="5" t="s">
        <v>310</v>
      </c>
      <c r="C206" s="5" t="s">
        <v>478</v>
      </c>
      <c r="D206" s="5" t="s">
        <v>773</v>
      </c>
      <c r="E206" s="5" t="s">
        <v>927</v>
      </c>
      <c r="F206" s="12">
        <v>44.33</v>
      </c>
      <c r="G206" s="156"/>
      <c r="H206" s="12"/>
      <c r="I206" s="12"/>
      <c r="J206" s="12">
        <f t="shared" si="78"/>
        <v>0</v>
      </c>
      <c r="K206" s="12">
        <v>2E-3</v>
      </c>
      <c r="L206" s="12">
        <f t="shared" si="79"/>
        <v>8.8660000000000003E-2</v>
      </c>
      <c r="N206" s="22" t="s">
        <v>950</v>
      </c>
      <c r="O206" s="12">
        <f t="shared" si="80"/>
        <v>0</v>
      </c>
      <c r="Z206" s="12">
        <f t="shared" si="81"/>
        <v>0</v>
      </c>
      <c r="AA206" s="12">
        <f t="shared" si="82"/>
        <v>0</v>
      </c>
      <c r="AB206" s="12">
        <f t="shared" si="83"/>
        <v>0</v>
      </c>
      <c r="AD206" s="24">
        <v>21</v>
      </c>
      <c r="AE206" s="24">
        <f>G206*1</f>
        <v>0</v>
      </c>
      <c r="AF206" s="24">
        <f>G206*(1-1)</f>
        <v>0</v>
      </c>
    </row>
    <row r="207" spans="1:37">
      <c r="A207" s="5" t="s">
        <v>182</v>
      </c>
      <c r="B207" s="5" t="s">
        <v>310</v>
      </c>
      <c r="C207" s="5" t="s">
        <v>479</v>
      </c>
      <c r="D207" s="5" t="s">
        <v>774</v>
      </c>
      <c r="E207" s="5" t="s">
        <v>927</v>
      </c>
      <c r="F207" s="12">
        <v>16.48</v>
      </c>
      <c r="G207" s="156"/>
      <c r="H207" s="12"/>
      <c r="I207" s="12"/>
      <c r="J207" s="12">
        <f t="shared" si="78"/>
        <v>0</v>
      </c>
      <c r="K207" s="12">
        <v>2.4099999999999998E-3</v>
      </c>
      <c r="L207" s="12">
        <f t="shared" si="79"/>
        <v>3.9716799999999997E-2</v>
      </c>
      <c r="N207" s="22" t="s">
        <v>950</v>
      </c>
      <c r="O207" s="12">
        <f t="shared" si="80"/>
        <v>0</v>
      </c>
      <c r="Z207" s="12">
        <f t="shared" si="81"/>
        <v>0</v>
      </c>
      <c r="AA207" s="12">
        <f t="shared" si="82"/>
        <v>0</v>
      </c>
      <c r="AB207" s="12">
        <f t="shared" si="83"/>
        <v>0</v>
      </c>
      <c r="AD207" s="24">
        <v>21</v>
      </c>
      <c r="AE207" s="24">
        <f>G207*1</f>
        <v>0</v>
      </c>
      <c r="AF207" s="24">
        <f>G207*(1-1)</f>
        <v>0</v>
      </c>
    </row>
    <row r="208" spans="1:37">
      <c r="A208" s="6" t="s">
        <v>183</v>
      </c>
      <c r="B208" s="6" t="s">
        <v>310</v>
      </c>
      <c r="C208" s="6" t="s">
        <v>480</v>
      </c>
      <c r="D208" s="6" t="s">
        <v>775</v>
      </c>
      <c r="E208" s="6" t="s">
        <v>927</v>
      </c>
      <c r="F208" s="13">
        <v>6</v>
      </c>
      <c r="G208" s="157"/>
      <c r="H208" s="13"/>
      <c r="I208" s="13"/>
      <c r="J208" s="13">
        <f t="shared" si="78"/>
        <v>0</v>
      </c>
      <c r="K208" s="13">
        <v>0</v>
      </c>
      <c r="L208" s="13">
        <f t="shared" si="79"/>
        <v>0</v>
      </c>
      <c r="N208" s="23" t="s">
        <v>8</v>
      </c>
      <c r="O208" s="13">
        <f t="shared" si="80"/>
        <v>0</v>
      </c>
      <c r="Z208" s="13">
        <f t="shared" si="81"/>
        <v>0</v>
      </c>
      <c r="AA208" s="13">
        <f t="shared" si="82"/>
        <v>0</v>
      </c>
      <c r="AB208" s="13">
        <f t="shared" si="83"/>
        <v>0</v>
      </c>
      <c r="AD208" s="24">
        <v>21</v>
      </c>
      <c r="AE208" s="24">
        <f>G208*0.220608940513904</f>
        <v>0</v>
      </c>
      <c r="AF208" s="24">
        <f>G208*(1-0.220608940513904)</f>
        <v>0</v>
      </c>
    </row>
    <row r="209" spans="1:37">
      <c r="A209" s="6" t="s">
        <v>184</v>
      </c>
      <c r="B209" s="6" t="s">
        <v>310</v>
      </c>
      <c r="C209" s="6" t="s">
        <v>481</v>
      </c>
      <c r="D209" s="6" t="s">
        <v>776</v>
      </c>
      <c r="E209" s="6" t="s">
        <v>927</v>
      </c>
      <c r="F209" s="13">
        <v>3</v>
      </c>
      <c r="G209" s="157"/>
      <c r="H209" s="13"/>
      <c r="I209" s="13"/>
      <c r="J209" s="13">
        <f t="shared" si="78"/>
        <v>0</v>
      </c>
      <c r="K209" s="13">
        <v>0</v>
      </c>
      <c r="L209" s="13">
        <f t="shared" si="79"/>
        <v>0</v>
      </c>
      <c r="N209" s="23" t="s">
        <v>8</v>
      </c>
      <c r="O209" s="13">
        <f t="shared" si="80"/>
        <v>0</v>
      </c>
      <c r="Z209" s="13">
        <f t="shared" si="81"/>
        <v>0</v>
      </c>
      <c r="AA209" s="13">
        <f t="shared" si="82"/>
        <v>0</v>
      </c>
      <c r="AB209" s="13">
        <f t="shared" si="83"/>
        <v>0</v>
      </c>
      <c r="AD209" s="24">
        <v>21</v>
      </c>
      <c r="AE209" s="24">
        <f>G209*0.235426731078905</f>
        <v>0</v>
      </c>
      <c r="AF209" s="24">
        <f>G209*(1-0.235426731078905)</f>
        <v>0</v>
      </c>
    </row>
    <row r="210" spans="1:37">
      <c r="A210" s="6" t="s">
        <v>185</v>
      </c>
      <c r="B210" s="6" t="s">
        <v>310</v>
      </c>
      <c r="C210" s="6" t="s">
        <v>482</v>
      </c>
      <c r="D210" s="6" t="s">
        <v>777</v>
      </c>
      <c r="E210" s="6" t="s">
        <v>927</v>
      </c>
      <c r="F210" s="13">
        <v>19</v>
      </c>
      <c r="G210" s="157"/>
      <c r="H210" s="13"/>
      <c r="I210" s="13"/>
      <c r="J210" s="13">
        <f t="shared" si="78"/>
        <v>0</v>
      </c>
      <c r="K210" s="13">
        <v>0</v>
      </c>
      <c r="L210" s="13">
        <f t="shared" si="79"/>
        <v>0</v>
      </c>
      <c r="N210" s="23" t="s">
        <v>8</v>
      </c>
      <c r="O210" s="13">
        <f t="shared" si="80"/>
        <v>0</v>
      </c>
      <c r="Z210" s="13">
        <f t="shared" si="81"/>
        <v>0</v>
      </c>
      <c r="AA210" s="13">
        <f t="shared" si="82"/>
        <v>0</v>
      </c>
      <c r="AB210" s="13">
        <f t="shared" si="83"/>
        <v>0</v>
      </c>
      <c r="AD210" s="24">
        <v>21</v>
      </c>
      <c r="AE210" s="24">
        <f>G210*0.220833333333333</f>
        <v>0</v>
      </c>
      <c r="AF210" s="24">
        <f>G210*(1-0.220833333333333)</f>
        <v>0</v>
      </c>
    </row>
    <row r="211" spans="1:37">
      <c r="A211" s="6" t="s">
        <v>186</v>
      </c>
      <c r="B211" s="6" t="s">
        <v>310</v>
      </c>
      <c r="C211" s="6" t="s">
        <v>483</v>
      </c>
      <c r="D211" s="6" t="s">
        <v>778</v>
      </c>
      <c r="E211" s="6" t="s">
        <v>927</v>
      </c>
      <c r="F211" s="13">
        <v>43</v>
      </c>
      <c r="G211" s="157"/>
      <c r="H211" s="13"/>
      <c r="I211" s="13"/>
      <c r="J211" s="13">
        <f t="shared" si="78"/>
        <v>0</v>
      </c>
      <c r="K211" s="13">
        <v>0</v>
      </c>
      <c r="L211" s="13">
        <f t="shared" si="79"/>
        <v>0</v>
      </c>
      <c r="N211" s="23" t="s">
        <v>8</v>
      </c>
      <c r="O211" s="13">
        <f t="shared" si="80"/>
        <v>0</v>
      </c>
      <c r="Z211" s="13">
        <f t="shared" si="81"/>
        <v>0</v>
      </c>
      <c r="AA211" s="13">
        <f t="shared" si="82"/>
        <v>0</v>
      </c>
      <c r="AB211" s="13">
        <f t="shared" si="83"/>
        <v>0</v>
      </c>
      <c r="AD211" s="24">
        <v>21</v>
      </c>
      <c r="AE211" s="24">
        <f>G211*0.247688172043011</f>
        <v>0</v>
      </c>
      <c r="AF211" s="24">
        <f>G211*(1-0.247688172043011)</f>
        <v>0</v>
      </c>
    </row>
    <row r="212" spans="1:37">
      <c r="A212" s="6" t="s">
        <v>187</v>
      </c>
      <c r="B212" s="6" t="s">
        <v>310</v>
      </c>
      <c r="C212" s="6" t="s">
        <v>484</v>
      </c>
      <c r="D212" s="6" t="s">
        <v>779</v>
      </c>
      <c r="E212" s="6" t="s">
        <v>927</v>
      </c>
      <c r="F212" s="13">
        <v>16</v>
      </c>
      <c r="G212" s="157"/>
      <c r="H212" s="13"/>
      <c r="I212" s="13"/>
      <c r="J212" s="13">
        <f t="shared" si="78"/>
        <v>0</v>
      </c>
      <c r="K212" s="13">
        <v>0</v>
      </c>
      <c r="L212" s="13">
        <f t="shared" si="79"/>
        <v>0</v>
      </c>
      <c r="N212" s="23" t="s">
        <v>8</v>
      </c>
      <c r="O212" s="13">
        <f t="shared" si="80"/>
        <v>0</v>
      </c>
      <c r="Z212" s="13">
        <f t="shared" si="81"/>
        <v>0</v>
      </c>
      <c r="AA212" s="13">
        <f t="shared" si="82"/>
        <v>0</v>
      </c>
      <c r="AB212" s="13">
        <f t="shared" si="83"/>
        <v>0</v>
      </c>
      <c r="AD212" s="24">
        <v>21</v>
      </c>
      <c r="AE212" s="24">
        <f>G212*0.264616055846422</f>
        <v>0</v>
      </c>
      <c r="AF212" s="24">
        <f>G212*(1-0.264616055846422)</f>
        <v>0</v>
      </c>
    </row>
    <row r="213" spans="1:37">
      <c r="A213" s="4"/>
      <c r="B213" s="4"/>
      <c r="C213" s="114"/>
      <c r="D213" s="135" t="s">
        <v>780</v>
      </c>
      <c r="E213" s="136"/>
      <c r="F213" s="136"/>
      <c r="G213" s="155"/>
      <c r="H213" s="26"/>
      <c r="I213" s="26"/>
      <c r="J213" s="26"/>
      <c r="K213" s="19"/>
      <c r="L213" s="26">
        <f>L214+L223+L229+L231</f>
        <v>3.1027590000000003</v>
      </c>
    </row>
    <row r="214" spans="1:37">
      <c r="A214" s="4"/>
      <c r="B214" s="4"/>
      <c r="C214" s="114"/>
      <c r="D214" s="135" t="s">
        <v>781</v>
      </c>
      <c r="E214" s="136"/>
      <c r="F214" s="136"/>
      <c r="G214" s="155"/>
      <c r="H214" s="26"/>
      <c r="I214" s="26"/>
      <c r="J214" s="26"/>
      <c r="K214" s="19"/>
      <c r="L214" s="26">
        <f>SUM(L215:L222)</f>
        <v>0</v>
      </c>
      <c r="P214" s="26">
        <f>IF(Q214="PR",J214,SUM(O215:O222))</f>
        <v>0</v>
      </c>
      <c r="Q214" s="19" t="s">
        <v>955</v>
      </c>
      <c r="R214" s="26">
        <f>IF(Q214="HS",H214,0)</f>
        <v>0</v>
      </c>
      <c r="S214" s="26">
        <f>IF(Q214="HS",I214-P214,0)</f>
        <v>0</v>
      </c>
      <c r="T214" s="26">
        <f>IF(Q214="PS",H214,0)</f>
        <v>0</v>
      </c>
      <c r="U214" s="26">
        <f>IF(Q214="PS",I214-P214,0)</f>
        <v>0</v>
      </c>
      <c r="V214" s="26">
        <f>IF(Q214="MP",H214,0)</f>
        <v>0</v>
      </c>
      <c r="W214" s="26">
        <f>IF(Q214="MP",I214-P214,0)</f>
        <v>0</v>
      </c>
      <c r="X214" s="26">
        <f>IF(Q214="OM",H214,0)</f>
        <v>0</v>
      </c>
      <c r="Y214" s="19" t="s">
        <v>311</v>
      </c>
      <c r="AI214" s="26">
        <f>SUM(Z215:Z222)</f>
        <v>0</v>
      </c>
      <c r="AJ214" s="26">
        <f>SUM(AA215:AA222)</f>
        <v>0</v>
      </c>
      <c r="AK214" s="26">
        <f>SUM(AB215:AB222)</f>
        <v>0</v>
      </c>
    </row>
    <row r="215" spans="1:37">
      <c r="A215" s="6" t="s">
        <v>188</v>
      </c>
      <c r="B215" s="6" t="s">
        <v>311</v>
      </c>
      <c r="C215" s="6" t="s">
        <v>485</v>
      </c>
      <c r="D215" s="6" t="s">
        <v>782</v>
      </c>
      <c r="E215" s="6" t="s">
        <v>930</v>
      </c>
      <c r="F215" s="13">
        <v>0.62</v>
      </c>
      <c r="G215" s="157"/>
      <c r="H215" s="13"/>
      <c r="I215" s="13"/>
      <c r="J215" s="13">
        <f t="shared" ref="J215:J222" si="84">ROUND(F215*G215,2)</f>
        <v>0</v>
      </c>
      <c r="K215" s="13">
        <v>0</v>
      </c>
      <c r="L215" s="13">
        <f t="shared" ref="L215:L222" si="85">F215*K215</f>
        <v>0</v>
      </c>
      <c r="N215" s="23" t="s">
        <v>11</v>
      </c>
      <c r="O215" s="13">
        <f t="shared" ref="O215:O222" si="86">IF(N215="5",I215,0)</f>
        <v>0</v>
      </c>
      <c r="Z215" s="13">
        <f t="shared" ref="Z215:Z222" si="87">IF(AD215=0,J215,0)</f>
        <v>0</v>
      </c>
      <c r="AA215" s="13">
        <f t="shared" ref="AA215:AA222" si="88">IF(AD215=15,J215,0)</f>
        <v>0</v>
      </c>
      <c r="AB215" s="13">
        <f t="shared" ref="AB215:AB222" si="89">IF(AD215=21,J215,0)</f>
        <v>0</v>
      </c>
      <c r="AD215" s="24">
        <v>21</v>
      </c>
      <c r="AE215" s="24">
        <f>G215*0</f>
        <v>0</v>
      </c>
      <c r="AF215" s="24">
        <f>G215*(1-0)</f>
        <v>0</v>
      </c>
    </row>
    <row r="216" spans="1:37">
      <c r="A216" s="6" t="s">
        <v>189</v>
      </c>
      <c r="B216" s="6" t="s">
        <v>311</v>
      </c>
      <c r="C216" s="6" t="s">
        <v>486</v>
      </c>
      <c r="D216" s="6" t="s">
        <v>783</v>
      </c>
      <c r="E216" s="6" t="s">
        <v>930</v>
      </c>
      <c r="F216" s="13">
        <v>2.61</v>
      </c>
      <c r="G216" s="157"/>
      <c r="H216" s="13"/>
      <c r="I216" s="13"/>
      <c r="J216" s="13">
        <f t="shared" si="84"/>
        <v>0</v>
      </c>
      <c r="K216" s="13">
        <v>0</v>
      </c>
      <c r="L216" s="13">
        <f t="shared" si="85"/>
        <v>0</v>
      </c>
      <c r="N216" s="23" t="s">
        <v>11</v>
      </c>
      <c r="O216" s="13">
        <f t="shared" si="86"/>
        <v>0</v>
      </c>
      <c r="Z216" s="13">
        <f t="shared" si="87"/>
        <v>0</v>
      </c>
      <c r="AA216" s="13">
        <f t="shared" si="88"/>
        <v>0</v>
      </c>
      <c r="AB216" s="13">
        <f t="shared" si="89"/>
        <v>0</v>
      </c>
      <c r="AD216" s="24">
        <v>21</v>
      </c>
      <c r="AE216" s="24">
        <f>G216*0</f>
        <v>0</v>
      </c>
      <c r="AF216" s="24">
        <f>G216*(1-0)</f>
        <v>0</v>
      </c>
    </row>
    <row r="217" spans="1:37">
      <c r="A217" s="6" t="s">
        <v>190</v>
      </c>
      <c r="B217" s="6" t="s">
        <v>311</v>
      </c>
      <c r="C217" s="6" t="s">
        <v>487</v>
      </c>
      <c r="D217" s="6" t="s">
        <v>784</v>
      </c>
      <c r="E217" s="6" t="s">
        <v>930</v>
      </c>
      <c r="F217" s="13">
        <v>36.54</v>
      </c>
      <c r="G217" s="157"/>
      <c r="H217" s="13"/>
      <c r="I217" s="13"/>
      <c r="J217" s="13">
        <f t="shared" si="84"/>
        <v>0</v>
      </c>
      <c r="K217" s="13">
        <v>0</v>
      </c>
      <c r="L217" s="13">
        <f t="shared" si="85"/>
        <v>0</v>
      </c>
      <c r="N217" s="23" t="s">
        <v>11</v>
      </c>
      <c r="O217" s="13">
        <f t="shared" si="86"/>
        <v>0</v>
      </c>
      <c r="Z217" s="13">
        <f t="shared" si="87"/>
        <v>0</v>
      </c>
      <c r="AA217" s="13">
        <f t="shared" si="88"/>
        <v>0</v>
      </c>
      <c r="AB217" s="13">
        <f t="shared" si="89"/>
        <v>0</v>
      </c>
      <c r="AD217" s="24">
        <v>21</v>
      </c>
      <c r="AE217" s="24">
        <f>G217*0</f>
        <v>0</v>
      </c>
      <c r="AF217" s="24">
        <f>G217*(1-0)</f>
        <v>0</v>
      </c>
    </row>
    <row r="218" spans="1:37">
      <c r="A218" s="6" t="s">
        <v>191</v>
      </c>
      <c r="B218" s="6" t="s">
        <v>311</v>
      </c>
      <c r="C218" s="6" t="s">
        <v>488</v>
      </c>
      <c r="D218" s="6" t="s">
        <v>785</v>
      </c>
      <c r="E218" s="6" t="s">
        <v>930</v>
      </c>
      <c r="F218" s="13">
        <v>0.61580000000000001</v>
      </c>
      <c r="G218" s="157"/>
      <c r="H218" s="13"/>
      <c r="I218" s="13"/>
      <c r="J218" s="13">
        <f t="shared" si="84"/>
        <v>0</v>
      </c>
      <c r="K218" s="13">
        <v>0</v>
      </c>
      <c r="L218" s="13">
        <f t="shared" si="85"/>
        <v>0</v>
      </c>
      <c r="N218" s="23" t="s">
        <v>11</v>
      </c>
      <c r="O218" s="13">
        <f t="shared" si="86"/>
        <v>0</v>
      </c>
      <c r="Z218" s="13">
        <f t="shared" si="87"/>
        <v>0</v>
      </c>
      <c r="AA218" s="13">
        <f t="shared" si="88"/>
        <v>0</v>
      </c>
      <c r="AB218" s="13">
        <f t="shared" si="89"/>
        <v>0</v>
      </c>
      <c r="AD218" s="24">
        <v>21</v>
      </c>
      <c r="AE218" s="24">
        <f>G218*0.00905873567323614</f>
        <v>0</v>
      </c>
      <c r="AF218" s="24">
        <f>G218*(1-0.00905873567323614)</f>
        <v>0</v>
      </c>
    </row>
    <row r="219" spans="1:37">
      <c r="A219" s="6" t="s">
        <v>192</v>
      </c>
      <c r="B219" s="6" t="s">
        <v>311</v>
      </c>
      <c r="C219" s="6" t="s">
        <v>489</v>
      </c>
      <c r="D219" s="6" t="s">
        <v>786</v>
      </c>
      <c r="E219" s="6" t="s">
        <v>930</v>
      </c>
      <c r="F219" s="13">
        <v>14.78</v>
      </c>
      <c r="G219" s="157"/>
      <c r="H219" s="13"/>
      <c r="I219" s="13"/>
      <c r="J219" s="13">
        <f t="shared" si="84"/>
        <v>0</v>
      </c>
      <c r="K219" s="13">
        <v>0</v>
      </c>
      <c r="L219" s="13">
        <f t="shared" si="85"/>
        <v>0</v>
      </c>
      <c r="N219" s="23" t="s">
        <v>11</v>
      </c>
      <c r="O219" s="13">
        <f t="shared" si="86"/>
        <v>0</v>
      </c>
      <c r="Z219" s="13">
        <f t="shared" si="87"/>
        <v>0</v>
      </c>
      <c r="AA219" s="13">
        <f t="shared" si="88"/>
        <v>0</v>
      </c>
      <c r="AB219" s="13">
        <f t="shared" si="89"/>
        <v>0</v>
      </c>
      <c r="AD219" s="24">
        <v>21</v>
      </c>
      <c r="AE219" s="24">
        <f>G219*0</f>
        <v>0</v>
      </c>
      <c r="AF219" s="24">
        <f>G219*(1-0)</f>
        <v>0</v>
      </c>
    </row>
    <row r="220" spans="1:37">
      <c r="A220" s="6" t="s">
        <v>193</v>
      </c>
      <c r="B220" s="6" t="s">
        <v>311</v>
      </c>
      <c r="C220" s="6" t="s">
        <v>490</v>
      </c>
      <c r="D220" s="6" t="s">
        <v>787</v>
      </c>
      <c r="E220" s="6" t="s">
        <v>930</v>
      </c>
      <c r="F220" s="13">
        <v>2.61</v>
      </c>
      <c r="G220" s="157"/>
      <c r="H220" s="13"/>
      <c r="I220" s="13"/>
      <c r="J220" s="13">
        <f t="shared" si="84"/>
        <v>0</v>
      </c>
      <c r="K220" s="13">
        <v>0</v>
      </c>
      <c r="L220" s="13">
        <f t="shared" si="85"/>
        <v>0</v>
      </c>
      <c r="N220" s="23" t="s">
        <v>11</v>
      </c>
      <c r="O220" s="13">
        <f t="shared" si="86"/>
        <v>0</v>
      </c>
      <c r="Z220" s="13">
        <f t="shared" si="87"/>
        <v>0</v>
      </c>
      <c r="AA220" s="13">
        <f t="shared" si="88"/>
        <v>0</v>
      </c>
      <c r="AB220" s="13">
        <f t="shared" si="89"/>
        <v>0</v>
      </c>
      <c r="AD220" s="24">
        <v>21</v>
      </c>
      <c r="AE220" s="24">
        <f>G220*0</f>
        <v>0</v>
      </c>
      <c r="AF220" s="24">
        <f>G220*(1-0)</f>
        <v>0</v>
      </c>
    </row>
    <row r="221" spans="1:37">
      <c r="A221" s="6" t="s">
        <v>194</v>
      </c>
      <c r="B221" s="6" t="s">
        <v>311</v>
      </c>
      <c r="C221" s="6" t="s">
        <v>491</v>
      </c>
      <c r="D221" s="6" t="s">
        <v>788</v>
      </c>
      <c r="E221" s="6" t="s">
        <v>930</v>
      </c>
      <c r="F221" s="13">
        <v>0.61580000000000001</v>
      </c>
      <c r="G221" s="157"/>
      <c r="H221" s="13"/>
      <c r="I221" s="13"/>
      <c r="J221" s="13">
        <f t="shared" si="84"/>
        <v>0</v>
      </c>
      <c r="K221" s="13">
        <v>0</v>
      </c>
      <c r="L221" s="13">
        <f t="shared" si="85"/>
        <v>0</v>
      </c>
      <c r="N221" s="23" t="s">
        <v>11</v>
      </c>
      <c r="O221" s="13">
        <f t="shared" si="86"/>
        <v>0</v>
      </c>
      <c r="Z221" s="13">
        <f t="shared" si="87"/>
        <v>0</v>
      </c>
      <c r="AA221" s="13">
        <f t="shared" si="88"/>
        <v>0</v>
      </c>
      <c r="AB221" s="13">
        <f t="shared" si="89"/>
        <v>0</v>
      </c>
      <c r="AD221" s="24">
        <v>21</v>
      </c>
      <c r="AE221" s="24">
        <f>G221*0</f>
        <v>0</v>
      </c>
      <c r="AF221" s="24">
        <f>G221*(1-0)</f>
        <v>0</v>
      </c>
    </row>
    <row r="222" spans="1:37">
      <c r="A222" s="6" t="s">
        <v>195</v>
      </c>
      <c r="B222" s="6" t="s">
        <v>311</v>
      </c>
      <c r="C222" s="6" t="s">
        <v>492</v>
      </c>
      <c r="D222" s="6" t="s">
        <v>789</v>
      </c>
      <c r="E222" s="6" t="s">
        <v>930</v>
      </c>
      <c r="F222" s="13">
        <v>0.62</v>
      </c>
      <c r="G222" s="157"/>
      <c r="H222" s="13"/>
      <c r="I222" s="13"/>
      <c r="J222" s="13">
        <f t="shared" si="84"/>
        <v>0</v>
      </c>
      <c r="K222" s="13">
        <v>0</v>
      </c>
      <c r="L222" s="13">
        <f t="shared" si="85"/>
        <v>0</v>
      </c>
      <c r="N222" s="23" t="s">
        <v>11</v>
      </c>
      <c r="O222" s="13">
        <f t="shared" si="86"/>
        <v>0</v>
      </c>
      <c r="Z222" s="13">
        <f t="shared" si="87"/>
        <v>0</v>
      </c>
      <c r="AA222" s="13">
        <f t="shared" si="88"/>
        <v>0</v>
      </c>
      <c r="AB222" s="13">
        <f t="shared" si="89"/>
        <v>0</v>
      </c>
      <c r="AD222" s="24">
        <v>21</v>
      </c>
      <c r="AE222" s="24">
        <f>G222*0</f>
        <v>0</v>
      </c>
      <c r="AF222" s="24">
        <f>G222*(1-0)</f>
        <v>0</v>
      </c>
    </row>
    <row r="223" spans="1:37">
      <c r="A223" s="4"/>
      <c r="B223" s="4"/>
      <c r="C223" s="114" t="s">
        <v>396</v>
      </c>
      <c r="D223" s="135" t="s">
        <v>690</v>
      </c>
      <c r="E223" s="136"/>
      <c r="F223" s="136"/>
      <c r="G223" s="155"/>
      <c r="H223" s="26"/>
      <c r="I223" s="26"/>
      <c r="J223" s="26"/>
      <c r="K223" s="19"/>
      <c r="L223" s="26">
        <f>SUM(L224:L228)</f>
        <v>0.61577899999999997</v>
      </c>
      <c r="P223" s="26">
        <f>IF(Q223="PR",J223,SUM(O224:O228))</f>
        <v>0</v>
      </c>
      <c r="Q223" s="19" t="s">
        <v>953</v>
      </c>
      <c r="R223" s="26">
        <f>IF(Q223="HS",H223,0)</f>
        <v>0</v>
      </c>
      <c r="S223" s="26">
        <f>IF(Q223="HS",I223-P223,0)</f>
        <v>0</v>
      </c>
      <c r="T223" s="26">
        <f>IF(Q223="PS",H223,0)</f>
        <v>0</v>
      </c>
      <c r="U223" s="26">
        <f>IF(Q223="PS",I223-P223,0)</f>
        <v>0</v>
      </c>
      <c r="V223" s="26">
        <f>IF(Q223="MP",H223,0)</f>
        <v>0</v>
      </c>
      <c r="W223" s="26">
        <f>IF(Q223="MP",I223-P223,0)</f>
        <v>0</v>
      </c>
      <c r="X223" s="26">
        <f>IF(Q223="OM",H223,0)</f>
        <v>0</v>
      </c>
      <c r="Y223" s="19" t="s">
        <v>311</v>
      </c>
      <c r="AI223" s="26">
        <f>SUM(Z224:Z228)</f>
        <v>0</v>
      </c>
      <c r="AJ223" s="26">
        <f>SUM(AA224:AA228)</f>
        <v>0</v>
      </c>
      <c r="AK223" s="26">
        <f>SUM(AB224:AB228)</f>
        <v>0</v>
      </c>
    </row>
    <row r="224" spans="1:37">
      <c r="A224" s="6" t="s">
        <v>196</v>
      </c>
      <c r="B224" s="6" t="s">
        <v>311</v>
      </c>
      <c r="C224" s="6" t="s">
        <v>493</v>
      </c>
      <c r="D224" s="6" t="s">
        <v>790</v>
      </c>
      <c r="E224" s="6" t="s">
        <v>929</v>
      </c>
      <c r="F224" s="13">
        <v>13.5</v>
      </c>
      <c r="G224" s="157"/>
      <c r="H224" s="13"/>
      <c r="I224" s="13"/>
      <c r="J224" s="13">
        <f>ROUND(F224*G224,2)</f>
        <v>0</v>
      </c>
      <c r="K224" s="13">
        <v>7.0000000000000001E-3</v>
      </c>
      <c r="L224" s="13">
        <f>F224*K224</f>
        <v>9.4500000000000001E-2</v>
      </c>
      <c r="N224" s="23" t="s">
        <v>7</v>
      </c>
      <c r="O224" s="13">
        <f>IF(N224="5",I224,0)</f>
        <v>0</v>
      </c>
      <c r="Z224" s="13">
        <f>IF(AD224=0,J224,0)</f>
        <v>0</v>
      </c>
      <c r="AA224" s="13">
        <f>IF(AD224=15,J224,0)</f>
        <v>0</v>
      </c>
      <c r="AB224" s="13">
        <f>IF(AD224=21,J224,0)</f>
        <v>0</v>
      </c>
      <c r="AD224" s="24">
        <v>21</v>
      </c>
      <c r="AE224" s="24">
        <f>G224*0</f>
        <v>0</v>
      </c>
      <c r="AF224" s="24">
        <f>G224*(1-0)</f>
        <v>0</v>
      </c>
    </row>
    <row r="225" spans="1:37">
      <c r="A225" s="6" t="s">
        <v>197</v>
      </c>
      <c r="B225" s="6" t="s">
        <v>311</v>
      </c>
      <c r="C225" s="6" t="s">
        <v>494</v>
      </c>
      <c r="D225" s="6" t="s">
        <v>791</v>
      </c>
      <c r="E225" s="6" t="s">
        <v>929</v>
      </c>
      <c r="F225" s="13">
        <v>3.77</v>
      </c>
      <c r="G225" s="157"/>
      <c r="H225" s="13"/>
      <c r="I225" s="13"/>
      <c r="J225" s="13">
        <f>ROUND(F225*G225,2)</f>
        <v>0</v>
      </c>
      <c r="K225" s="13">
        <v>1.0500000000000001E-2</v>
      </c>
      <c r="L225" s="13">
        <f>F225*K225</f>
        <v>3.9585000000000002E-2</v>
      </c>
      <c r="N225" s="23" t="s">
        <v>7</v>
      </c>
      <c r="O225" s="13">
        <f>IF(N225="5",I225,0)</f>
        <v>0</v>
      </c>
      <c r="Z225" s="13">
        <f>IF(AD225=0,J225,0)</f>
        <v>0</v>
      </c>
      <c r="AA225" s="13">
        <f>IF(AD225=15,J225,0)</f>
        <v>0</v>
      </c>
      <c r="AB225" s="13">
        <f>IF(AD225=21,J225,0)</f>
        <v>0</v>
      </c>
      <c r="AD225" s="24">
        <v>21</v>
      </c>
      <c r="AE225" s="24">
        <f>G225*0</f>
        <v>0</v>
      </c>
      <c r="AF225" s="24">
        <f>G225*(1-0)</f>
        <v>0</v>
      </c>
    </row>
    <row r="226" spans="1:37">
      <c r="A226" s="6" t="s">
        <v>198</v>
      </c>
      <c r="B226" s="6" t="s">
        <v>311</v>
      </c>
      <c r="C226" s="6" t="s">
        <v>495</v>
      </c>
      <c r="D226" s="6" t="s">
        <v>792</v>
      </c>
      <c r="E226" s="6" t="s">
        <v>929</v>
      </c>
      <c r="F226" s="13">
        <v>3.77</v>
      </c>
      <c r="G226" s="157"/>
      <c r="H226" s="13"/>
      <c r="I226" s="13"/>
      <c r="J226" s="13">
        <f>ROUND(F226*G226,2)</f>
        <v>0</v>
      </c>
      <c r="K226" s="13">
        <v>2.2000000000000001E-3</v>
      </c>
      <c r="L226" s="13">
        <f>F226*K226</f>
        <v>8.294000000000001E-3</v>
      </c>
      <c r="N226" s="23" t="s">
        <v>7</v>
      </c>
      <c r="O226" s="13">
        <f>IF(N226="5",I226,0)</f>
        <v>0</v>
      </c>
      <c r="Z226" s="13">
        <f>IF(AD226=0,J226,0)</f>
        <v>0</v>
      </c>
      <c r="AA226" s="13">
        <f>IF(AD226=15,J226,0)</f>
        <v>0</v>
      </c>
      <c r="AB226" s="13">
        <f>IF(AD226=21,J226,0)</f>
        <v>0</v>
      </c>
      <c r="AD226" s="24">
        <v>21</v>
      </c>
      <c r="AE226" s="24">
        <f>G226*0</f>
        <v>0</v>
      </c>
      <c r="AF226" s="24">
        <f>G226*(1-0)</f>
        <v>0</v>
      </c>
    </row>
    <row r="227" spans="1:37">
      <c r="A227" s="6" t="s">
        <v>199</v>
      </c>
      <c r="B227" s="6" t="s">
        <v>311</v>
      </c>
      <c r="C227" s="6" t="s">
        <v>496</v>
      </c>
      <c r="D227" s="6" t="s">
        <v>793</v>
      </c>
      <c r="E227" s="6" t="s">
        <v>929</v>
      </c>
      <c r="F227" s="13">
        <v>13.5</v>
      </c>
      <c r="G227" s="157"/>
      <c r="H227" s="13"/>
      <c r="I227" s="13"/>
      <c r="J227" s="13">
        <f>ROUND(F227*G227,2)</f>
        <v>0</v>
      </c>
      <c r="K227" s="13">
        <v>2.3999999999999998E-3</v>
      </c>
      <c r="L227" s="13">
        <f>F227*K227</f>
        <v>3.2399999999999998E-2</v>
      </c>
      <c r="N227" s="23" t="s">
        <v>7</v>
      </c>
      <c r="O227" s="13">
        <f>IF(N227="5",I227,0)</f>
        <v>0</v>
      </c>
      <c r="Z227" s="13">
        <f>IF(AD227=0,J227,0)</f>
        <v>0</v>
      </c>
      <c r="AA227" s="13">
        <f>IF(AD227=15,J227,0)</f>
        <v>0</v>
      </c>
      <c r="AB227" s="13">
        <f>IF(AD227=21,J227,0)</f>
        <v>0</v>
      </c>
      <c r="AD227" s="24">
        <v>21</v>
      </c>
      <c r="AE227" s="24">
        <f>G227*0</f>
        <v>0</v>
      </c>
      <c r="AF227" s="24">
        <f>G227*(1-0)</f>
        <v>0</v>
      </c>
    </row>
    <row r="228" spans="1:37">
      <c r="A228" s="6" t="s">
        <v>200</v>
      </c>
      <c r="B228" s="6" t="s">
        <v>311</v>
      </c>
      <c r="C228" s="6" t="s">
        <v>497</v>
      </c>
      <c r="D228" s="6" t="s">
        <v>794</v>
      </c>
      <c r="E228" s="6" t="s">
        <v>929</v>
      </c>
      <c r="F228" s="13">
        <v>210</v>
      </c>
      <c r="G228" s="157"/>
      <c r="H228" s="13"/>
      <c r="I228" s="13"/>
      <c r="J228" s="13">
        <f>ROUND(F228*G228,2)</f>
        <v>0</v>
      </c>
      <c r="K228" s="13">
        <v>2.0999999999999999E-3</v>
      </c>
      <c r="L228" s="13">
        <f>F228*K228</f>
        <v>0.44099999999999995</v>
      </c>
      <c r="N228" s="23" t="s">
        <v>7</v>
      </c>
      <c r="O228" s="13">
        <f>IF(N228="5",I228,0)</f>
        <v>0</v>
      </c>
      <c r="Z228" s="13">
        <f>IF(AD228=0,J228,0)</f>
        <v>0</v>
      </c>
      <c r="AA228" s="13">
        <f>IF(AD228=15,J228,0)</f>
        <v>0</v>
      </c>
      <c r="AB228" s="13">
        <f>IF(AD228=21,J228,0)</f>
        <v>0</v>
      </c>
      <c r="AD228" s="24">
        <v>21</v>
      </c>
      <c r="AE228" s="24">
        <f>G228*0</f>
        <v>0</v>
      </c>
      <c r="AF228" s="24">
        <f>G228*(1-0)</f>
        <v>0</v>
      </c>
    </row>
    <row r="229" spans="1:37">
      <c r="A229" s="4"/>
      <c r="B229" s="4"/>
      <c r="C229" s="114" t="s">
        <v>79</v>
      </c>
      <c r="D229" s="135" t="s">
        <v>795</v>
      </c>
      <c r="E229" s="136"/>
      <c r="F229" s="136"/>
      <c r="G229" s="155"/>
      <c r="H229" s="26"/>
      <c r="I229" s="26"/>
      <c r="J229" s="26"/>
      <c r="K229" s="19"/>
      <c r="L229" s="26">
        <f>SUM(L230:L230)</f>
        <v>0</v>
      </c>
      <c r="P229" s="26">
        <f>IF(Q229="PR",J229,SUM(O230:O230))</f>
        <v>0</v>
      </c>
      <c r="Q229" s="19" t="s">
        <v>953</v>
      </c>
      <c r="R229" s="26">
        <f>IF(Q229="HS",H229,0)</f>
        <v>0</v>
      </c>
      <c r="S229" s="26">
        <f>IF(Q229="HS",I229-P229,0)</f>
        <v>0</v>
      </c>
      <c r="T229" s="26">
        <f>IF(Q229="PS",H229,0)</f>
        <v>0</v>
      </c>
      <c r="U229" s="26">
        <f>IF(Q229="PS",I229-P229,0)</f>
        <v>0</v>
      </c>
      <c r="V229" s="26">
        <f>IF(Q229="MP",H229,0)</f>
        <v>0</v>
      </c>
      <c r="W229" s="26">
        <f>IF(Q229="MP",I229-P229,0)</f>
        <v>0</v>
      </c>
      <c r="X229" s="26">
        <f>IF(Q229="OM",H229,0)</f>
        <v>0</v>
      </c>
      <c r="Y229" s="19" t="s">
        <v>311</v>
      </c>
      <c r="AI229" s="26">
        <f>SUM(Z230:Z230)</f>
        <v>0</v>
      </c>
      <c r="AJ229" s="26">
        <f>SUM(AA230:AA230)</f>
        <v>0</v>
      </c>
      <c r="AK229" s="26">
        <f>SUM(AB230:AB230)</f>
        <v>0</v>
      </c>
    </row>
    <row r="230" spans="1:37">
      <c r="A230" s="6" t="s">
        <v>201</v>
      </c>
      <c r="B230" s="6" t="s">
        <v>311</v>
      </c>
      <c r="C230" s="6" t="s">
        <v>498</v>
      </c>
      <c r="D230" s="6" t="s">
        <v>796</v>
      </c>
      <c r="E230" s="6" t="s">
        <v>928</v>
      </c>
      <c r="F230" s="13">
        <v>1200</v>
      </c>
      <c r="G230" s="157"/>
      <c r="H230" s="13"/>
      <c r="I230" s="13"/>
      <c r="J230" s="13">
        <f>ROUND(F230*G230,2)</f>
        <v>0</v>
      </c>
      <c r="K230" s="13">
        <v>0</v>
      </c>
      <c r="L230" s="13">
        <f>F230*K230</f>
        <v>0</v>
      </c>
      <c r="N230" s="23" t="s">
        <v>7</v>
      </c>
      <c r="O230" s="13">
        <f>IF(N230="5",I230,0)</f>
        <v>0</v>
      </c>
      <c r="Z230" s="13">
        <f>IF(AD230=0,J230,0)</f>
        <v>0</v>
      </c>
      <c r="AA230" s="13">
        <f>IF(AD230=15,J230,0)</f>
        <v>0</v>
      </c>
      <c r="AB230" s="13">
        <f>IF(AD230=21,J230,0)</f>
        <v>0</v>
      </c>
      <c r="AD230" s="24">
        <v>21</v>
      </c>
      <c r="AE230" s="24">
        <f>G230*0</f>
        <v>0</v>
      </c>
      <c r="AF230" s="24">
        <f>G230*(1-0)</f>
        <v>0</v>
      </c>
    </row>
    <row r="231" spans="1:37">
      <c r="A231" s="4"/>
      <c r="B231" s="4"/>
      <c r="C231" s="114" t="s">
        <v>315</v>
      </c>
      <c r="D231" s="135" t="s">
        <v>604</v>
      </c>
      <c r="E231" s="136"/>
      <c r="F231" s="136"/>
      <c r="G231" s="155"/>
      <c r="H231" s="26"/>
      <c r="I231" s="26"/>
      <c r="J231" s="26"/>
      <c r="K231" s="19"/>
      <c r="L231" s="26">
        <f>SUM(L232:L238)</f>
        <v>2.4869800000000004</v>
      </c>
      <c r="P231" s="26">
        <f>IF(Q231="PR",J231,SUM(O232:O238))</f>
        <v>0</v>
      </c>
      <c r="Q231" s="19" t="s">
        <v>953</v>
      </c>
      <c r="R231" s="26">
        <f>IF(Q231="HS",H231,0)</f>
        <v>0</v>
      </c>
      <c r="S231" s="26">
        <f>IF(Q231="HS",I231-P231,0)</f>
        <v>0</v>
      </c>
      <c r="T231" s="26">
        <f>IF(Q231="PS",H231,0)</f>
        <v>0</v>
      </c>
      <c r="U231" s="26">
        <f>IF(Q231="PS",I231-P231,0)</f>
        <v>0</v>
      </c>
      <c r="V231" s="26">
        <f>IF(Q231="MP",H231,0)</f>
        <v>0</v>
      </c>
      <c r="W231" s="26">
        <f>IF(Q231="MP",I231-P231,0)</f>
        <v>0</v>
      </c>
      <c r="X231" s="26">
        <f>IF(Q231="OM",H231,0)</f>
        <v>0</v>
      </c>
      <c r="Y231" s="19" t="s">
        <v>311</v>
      </c>
      <c r="AI231" s="26">
        <f>SUM(Z232:Z238)</f>
        <v>0</v>
      </c>
      <c r="AJ231" s="26">
        <f>SUM(AA232:AA238)</f>
        <v>0</v>
      </c>
      <c r="AK231" s="26">
        <f>SUM(AB232:AB238)</f>
        <v>0</v>
      </c>
    </row>
    <row r="232" spans="1:37">
      <c r="A232" s="6" t="s">
        <v>202</v>
      </c>
      <c r="B232" s="6" t="s">
        <v>311</v>
      </c>
      <c r="C232" s="6" t="s">
        <v>499</v>
      </c>
      <c r="D232" s="6" t="s">
        <v>797</v>
      </c>
      <c r="E232" s="6" t="s">
        <v>927</v>
      </c>
      <c r="F232" s="13">
        <v>6</v>
      </c>
      <c r="G232" s="157"/>
      <c r="H232" s="13"/>
      <c r="I232" s="13"/>
      <c r="J232" s="13">
        <f t="shared" ref="J232:J238" si="90">ROUND(F232*G232,2)</f>
        <v>0</v>
      </c>
      <c r="K232" s="13">
        <v>9.3579999999999997E-2</v>
      </c>
      <c r="L232" s="13">
        <f t="shared" ref="L232:L238" si="91">F232*K232</f>
        <v>0.56147999999999998</v>
      </c>
      <c r="N232" s="23" t="s">
        <v>7</v>
      </c>
      <c r="O232" s="13">
        <f t="shared" ref="O232:O238" si="92">IF(N232="5",I232,0)</f>
        <v>0</v>
      </c>
      <c r="Z232" s="13">
        <f t="shared" ref="Z232:Z238" si="93">IF(AD232=0,J232,0)</f>
        <v>0</v>
      </c>
      <c r="AA232" s="13">
        <f t="shared" ref="AA232:AA238" si="94">IF(AD232=15,J232,0)</f>
        <v>0</v>
      </c>
      <c r="AB232" s="13">
        <f t="shared" ref="AB232:AB238" si="95">IF(AD232=21,J232,0)</f>
        <v>0</v>
      </c>
      <c r="AD232" s="24">
        <v>21</v>
      </c>
      <c r="AE232" s="24">
        <f t="shared" ref="AE232:AE238" si="96">G232*0</f>
        <v>0</v>
      </c>
      <c r="AF232" s="24">
        <f t="shared" ref="AF232:AF238" si="97">G232*(1-0)</f>
        <v>0</v>
      </c>
    </row>
    <row r="233" spans="1:37">
      <c r="A233" s="6" t="s">
        <v>203</v>
      </c>
      <c r="B233" s="6" t="s">
        <v>311</v>
      </c>
      <c r="C233" s="6" t="s">
        <v>500</v>
      </c>
      <c r="D233" s="6" t="s">
        <v>798</v>
      </c>
      <c r="E233" s="6" t="s">
        <v>919</v>
      </c>
      <c r="F233" s="13">
        <v>1</v>
      </c>
      <c r="G233" s="157"/>
      <c r="H233" s="13"/>
      <c r="I233" s="13"/>
      <c r="J233" s="13">
        <f t="shared" si="90"/>
        <v>0</v>
      </c>
      <c r="K233" s="13">
        <v>0</v>
      </c>
      <c r="L233" s="13">
        <f t="shared" si="91"/>
        <v>0</v>
      </c>
      <c r="N233" s="23" t="s">
        <v>7</v>
      </c>
      <c r="O233" s="13">
        <f t="shared" si="92"/>
        <v>0</v>
      </c>
      <c r="Z233" s="13">
        <f t="shared" si="93"/>
        <v>0</v>
      </c>
      <c r="AA233" s="13">
        <f t="shared" si="94"/>
        <v>0</v>
      </c>
      <c r="AB233" s="13">
        <f t="shared" si="95"/>
        <v>0</v>
      </c>
      <c r="AD233" s="24">
        <v>21</v>
      </c>
      <c r="AE233" s="24">
        <f t="shared" si="96"/>
        <v>0</v>
      </c>
      <c r="AF233" s="24">
        <f t="shared" si="97"/>
        <v>0</v>
      </c>
    </row>
    <row r="234" spans="1:37">
      <c r="A234" s="6" t="s">
        <v>204</v>
      </c>
      <c r="B234" s="6" t="s">
        <v>311</v>
      </c>
      <c r="C234" s="6" t="s">
        <v>501</v>
      </c>
      <c r="D234" s="6" t="s">
        <v>799</v>
      </c>
      <c r="E234" s="6" t="s">
        <v>921</v>
      </c>
      <c r="F234" s="13">
        <v>2</v>
      </c>
      <c r="G234" s="157"/>
      <c r="H234" s="13"/>
      <c r="I234" s="13"/>
      <c r="J234" s="13">
        <f t="shared" si="90"/>
        <v>0</v>
      </c>
      <c r="K234" s="13">
        <v>0.29980000000000001</v>
      </c>
      <c r="L234" s="13">
        <f t="shared" si="91"/>
        <v>0.59960000000000002</v>
      </c>
      <c r="N234" s="23" t="s">
        <v>7</v>
      </c>
      <c r="O234" s="13">
        <f t="shared" si="92"/>
        <v>0</v>
      </c>
      <c r="Z234" s="13">
        <f t="shared" si="93"/>
        <v>0</v>
      </c>
      <c r="AA234" s="13">
        <f t="shared" si="94"/>
        <v>0</v>
      </c>
      <c r="AB234" s="13">
        <f t="shared" si="95"/>
        <v>0</v>
      </c>
      <c r="AD234" s="24">
        <v>21</v>
      </c>
      <c r="AE234" s="24">
        <f t="shared" si="96"/>
        <v>0</v>
      </c>
      <c r="AF234" s="24">
        <f t="shared" si="97"/>
        <v>0</v>
      </c>
    </row>
    <row r="235" spans="1:37">
      <c r="A235" s="6" t="s">
        <v>205</v>
      </c>
      <c r="B235" s="6" t="s">
        <v>311</v>
      </c>
      <c r="C235" s="6" t="s">
        <v>502</v>
      </c>
      <c r="D235" s="6" t="s">
        <v>800</v>
      </c>
      <c r="E235" s="6" t="s">
        <v>921</v>
      </c>
      <c r="F235" s="13">
        <v>1</v>
      </c>
      <c r="G235" s="157"/>
      <c r="H235" s="13"/>
      <c r="I235" s="13"/>
      <c r="J235" s="13">
        <f t="shared" si="90"/>
        <v>0</v>
      </c>
      <c r="K235" s="13">
        <v>1.0079</v>
      </c>
      <c r="L235" s="13">
        <f t="shared" si="91"/>
        <v>1.0079</v>
      </c>
      <c r="N235" s="23" t="s">
        <v>7</v>
      </c>
      <c r="O235" s="13">
        <f t="shared" si="92"/>
        <v>0</v>
      </c>
      <c r="Z235" s="13">
        <f t="shared" si="93"/>
        <v>0</v>
      </c>
      <c r="AA235" s="13">
        <f t="shared" si="94"/>
        <v>0</v>
      </c>
      <c r="AB235" s="13">
        <f t="shared" si="95"/>
        <v>0</v>
      </c>
      <c r="AD235" s="24">
        <v>21</v>
      </c>
      <c r="AE235" s="24">
        <f t="shared" si="96"/>
        <v>0</v>
      </c>
      <c r="AF235" s="24">
        <f t="shared" si="97"/>
        <v>0</v>
      </c>
    </row>
    <row r="236" spans="1:37">
      <c r="A236" s="6" t="s">
        <v>206</v>
      </c>
      <c r="B236" s="6" t="s">
        <v>311</v>
      </c>
      <c r="C236" s="6" t="s">
        <v>503</v>
      </c>
      <c r="D236" s="6" t="s">
        <v>801</v>
      </c>
      <c r="E236" s="6" t="s">
        <v>921</v>
      </c>
      <c r="F236" s="13">
        <v>2</v>
      </c>
      <c r="G236" s="157"/>
      <c r="H236" s="13"/>
      <c r="I236" s="13"/>
      <c r="J236" s="13">
        <f t="shared" si="90"/>
        <v>0</v>
      </c>
      <c r="K236" s="13">
        <v>0.159</v>
      </c>
      <c r="L236" s="13">
        <f t="shared" si="91"/>
        <v>0.318</v>
      </c>
      <c r="N236" s="23" t="s">
        <v>7</v>
      </c>
      <c r="O236" s="13">
        <f t="shared" si="92"/>
        <v>0</v>
      </c>
      <c r="Z236" s="13">
        <f t="shared" si="93"/>
        <v>0</v>
      </c>
      <c r="AA236" s="13">
        <f t="shared" si="94"/>
        <v>0</v>
      </c>
      <c r="AB236" s="13">
        <f t="shared" si="95"/>
        <v>0</v>
      </c>
      <c r="AD236" s="24">
        <v>21</v>
      </c>
      <c r="AE236" s="24">
        <f t="shared" si="96"/>
        <v>0</v>
      </c>
      <c r="AF236" s="24">
        <f t="shared" si="97"/>
        <v>0</v>
      </c>
    </row>
    <row r="237" spans="1:37">
      <c r="A237" s="6" t="s">
        <v>207</v>
      </c>
      <c r="B237" s="6" t="s">
        <v>311</v>
      </c>
      <c r="C237" s="6" t="s">
        <v>504</v>
      </c>
      <c r="D237" s="6" t="s">
        <v>802</v>
      </c>
      <c r="E237" s="6" t="s">
        <v>921</v>
      </c>
      <c r="F237" s="13">
        <v>1</v>
      </c>
      <c r="G237" s="157"/>
      <c r="H237" s="13"/>
      <c r="I237" s="13"/>
      <c r="J237" s="13">
        <f t="shared" si="90"/>
        <v>0</v>
      </c>
      <c r="K237" s="13">
        <v>0</v>
      </c>
      <c r="L237" s="13">
        <f t="shared" si="91"/>
        <v>0</v>
      </c>
      <c r="N237" s="23" t="s">
        <v>7</v>
      </c>
      <c r="O237" s="13">
        <f t="shared" si="92"/>
        <v>0</v>
      </c>
      <c r="Z237" s="13">
        <f t="shared" si="93"/>
        <v>0</v>
      </c>
      <c r="AA237" s="13">
        <f t="shared" si="94"/>
        <v>0</v>
      </c>
      <c r="AB237" s="13">
        <f t="shared" si="95"/>
        <v>0</v>
      </c>
      <c r="AD237" s="24">
        <v>21</v>
      </c>
      <c r="AE237" s="24">
        <f t="shared" si="96"/>
        <v>0</v>
      </c>
      <c r="AF237" s="24">
        <f t="shared" si="97"/>
        <v>0</v>
      </c>
    </row>
    <row r="238" spans="1:37">
      <c r="A238" s="6" t="s">
        <v>208</v>
      </c>
      <c r="B238" s="6" t="s">
        <v>311</v>
      </c>
      <c r="C238" s="6" t="s">
        <v>505</v>
      </c>
      <c r="D238" s="6" t="s">
        <v>803</v>
      </c>
      <c r="E238" s="6" t="s">
        <v>930</v>
      </c>
      <c r="F238" s="13">
        <v>2.4870000000000001</v>
      </c>
      <c r="G238" s="157"/>
      <c r="H238" s="13"/>
      <c r="I238" s="13"/>
      <c r="J238" s="13">
        <f t="shared" si="90"/>
        <v>0</v>
      </c>
      <c r="K238" s="13">
        <v>0</v>
      </c>
      <c r="L238" s="13">
        <f t="shared" si="91"/>
        <v>0</v>
      </c>
      <c r="N238" s="23" t="s">
        <v>7</v>
      </c>
      <c r="O238" s="13">
        <f t="shared" si="92"/>
        <v>0</v>
      </c>
      <c r="Z238" s="13">
        <f t="shared" si="93"/>
        <v>0</v>
      </c>
      <c r="AA238" s="13">
        <f t="shared" si="94"/>
        <v>0</v>
      </c>
      <c r="AB238" s="13">
        <f t="shared" si="95"/>
        <v>0</v>
      </c>
      <c r="AD238" s="24">
        <v>21</v>
      </c>
      <c r="AE238" s="24">
        <f t="shared" si="96"/>
        <v>0</v>
      </c>
      <c r="AF238" s="24">
        <f t="shared" si="97"/>
        <v>0</v>
      </c>
    </row>
    <row r="239" spans="1:37">
      <c r="A239" s="4"/>
      <c r="B239" s="4"/>
      <c r="C239" s="114"/>
      <c r="D239" s="135" t="s">
        <v>804</v>
      </c>
      <c r="E239" s="136"/>
      <c r="F239" s="136"/>
      <c r="G239" s="155"/>
      <c r="H239" s="26"/>
      <c r="I239" s="26"/>
      <c r="J239" s="26"/>
      <c r="K239" s="19"/>
      <c r="L239" s="26">
        <f>L240+L242+L247+L249+L251+L254+L256+L267+L273+L277+L283+L289+L291+L299+L304+L312+L317+L320+L329+L337</f>
        <v>55.285409400000006</v>
      </c>
    </row>
    <row r="240" spans="1:37">
      <c r="A240" s="4"/>
      <c r="B240" s="4"/>
      <c r="C240" s="114" t="s">
        <v>19</v>
      </c>
      <c r="D240" s="135" t="s">
        <v>805</v>
      </c>
      <c r="E240" s="136"/>
      <c r="F240" s="136"/>
      <c r="G240" s="155"/>
      <c r="H240" s="26"/>
      <c r="I240" s="26"/>
      <c r="J240" s="26"/>
      <c r="K240" s="19"/>
      <c r="L240" s="26">
        <f>SUM(L241:L241)</f>
        <v>0</v>
      </c>
      <c r="P240" s="26">
        <f>IF(Q240="PR",J240,SUM(O241:O241))</f>
        <v>0</v>
      </c>
      <c r="Q240" s="19" t="s">
        <v>956</v>
      </c>
      <c r="R240" s="26">
        <f>IF(Q240="HS",H240,0)</f>
        <v>0</v>
      </c>
      <c r="S240" s="26">
        <f>IF(Q240="HS",I240-P240,0)</f>
        <v>0</v>
      </c>
      <c r="T240" s="26">
        <f>IF(Q240="PS",H240,0)</f>
        <v>0</v>
      </c>
      <c r="U240" s="26">
        <f>IF(Q240="PS",I240-P240,0)</f>
        <v>0</v>
      </c>
      <c r="V240" s="26">
        <f>IF(Q240="MP",H240,0)</f>
        <v>0</v>
      </c>
      <c r="W240" s="26">
        <f>IF(Q240="MP",I240-P240,0)</f>
        <v>0</v>
      </c>
      <c r="X240" s="26">
        <f>IF(Q240="OM",H240,0)</f>
        <v>0</v>
      </c>
      <c r="Y240" s="19" t="s">
        <v>312</v>
      </c>
      <c r="AI240" s="26">
        <f>SUM(Z241:Z241)</f>
        <v>0</v>
      </c>
      <c r="AJ240" s="26">
        <f>SUM(AA241:AA241)</f>
        <v>0</v>
      </c>
      <c r="AK240" s="26">
        <f>SUM(AB241:AB241)</f>
        <v>0</v>
      </c>
    </row>
    <row r="241" spans="1:37">
      <c r="A241" s="6" t="s">
        <v>209</v>
      </c>
      <c r="B241" s="6" t="s">
        <v>312</v>
      </c>
      <c r="C241" s="6" t="s">
        <v>506</v>
      </c>
      <c r="D241" s="6" t="s">
        <v>806</v>
      </c>
      <c r="E241" s="6" t="s">
        <v>932</v>
      </c>
      <c r="F241" s="13">
        <v>4.3</v>
      </c>
      <c r="G241" s="157"/>
      <c r="H241" s="13"/>
      <c r="I241" s="13"/>
      <c r="J241" s="13">
        <f>ROUND(F241*G241,2)</f>
        <v>0</v>
      </c>
      <c r="K241" s="13">
        <v>0</v>
      </c>
      <c r="L241" s="13">
        <f>F241*K241</f>
        <v>0</v>
      </c>
      <c r="N241" s="23" t="s">
        <v>7</v>
      </c>
      <c r="O241" s="13">
        <f>IF(N241="5",I241,0)</f>
        <v>0</v>
      </c>
      <c r="Z241" s="13">
        <f>IF(AD241=0,J241,0)</f>
        <v>0</v>
      </c>
      <c r="AA241" s="13">
        <f>IF(AD241=15,J241,0)</f>
        <v>0</v>
      </c>
      <c r="AB241" s="13">
        <f>IF(AD241=21,J241,0)</f>
        <v>0</v>
      </c>
      <c r="AD241" s="24">
        <v>21</v>
      </c>
      <c r="AE241" s="24">
        <f>G241*0</f>
        <v>0</v>
      </c>
      <c r="AF241" s="24">
        <f>G241*(1-0)</f>
        <v>0</v>
      </c>
    </row>
    <row r="242" spans="1:37">
      <c r="A242" s="4"/>
      <c r="B242" s="4"/>
      <c r="C242" s="114" t="s">
        <v>22</v>
      </c>
      <c r="D242" s="135" t="s">
        <v>807</v>
      </c>
      <c r="E242" s="136"/>
      <c r="F242" s="136"/>
      <c r="G242" s="155"/>
      <c r="H242" s="26"/>
      <c r="I242" s="26"/>
      <c r="J242" s="26"/>
      <c r="K242" s="19"/>
      <c r="L242" s="26">
        <f>SUM(L243:L246)</f>
        <v>0</v>
      </c>
      <c r="P242" s="26">
        <f>IF(Q242="PR",J242,SUM(O243:O246))</f>
        <v>0</v>
      </c>
      <c r="Q242" s="19" t="s">
        <v>956</v>
      </c>
      <c r="R242" s="26">
        <f>IF(Q242="HS",H242,0)</f>
        <v>0</v>
      </c>
      <c r="S242" s="26">
        <f>IF(Q242="HS",I242-P242,0)</f>
        <v>0</v>
      </c>
      <c r="T242" s="26">
        <f>IF(Q242="PS",H242,0)</f>
        <v>0</v>
      </c>
      <c r="U242" s="26">
        <f>IF(Q242="PS",I242-P242,0)</f>
        <v>0</v>
      </c>
      <c r="V242" s="26">
        <f>IF(Q242="MP",H242,0)</f>
        <v>0</v>
      </c>
      <c r="W242" s="26">
        <f>IF(Q242="MP",I242-P242,0)</f>
        <v>0</v>
      </c>
      <c r="X242" s="26">
        <f>IF(Q242="OM",H242,0)</f>
        <v>0</v>
      </c>
      <c r="Y242" s="19" t="s">
        <v>312</v>
      </c>
      <c r="AI242" s="26">
        <f>SUM(Z243:Z246)</f>
        <v>0</v>
      </c>
      <c r="AJ242" s="26">
        <f>SUM(AA243:AA246)</f>
        <v>0</v>
      </c>
      <c r="AK242" s="26">
        <f>SUM(AB243:AB246)</f>
        <v>0</v>
      </c>
    </row>
    <row r="243" spans="1:37">
      <c r="A243" s="6" t="s">
        <v>210</v>
      </c>
      <c r="B243" s="6" t="s">
        <v>312</v>
      </c>
      <c r="C243" s="6" t="s">
        <v>507</v>
      </c>
      <c r="D243" s="6" t="s">
        <v>808</v>
      </c>
      <c r="E243" s="6" t="s">
        <v>932</v>
      </c>
      <c r="F243" s="13">
        <v>1.6</v>
      </c>
      <c r="G243" s="157"/>
      <c r="H243" s="13"/>
      <c r="I243" s="13"/>
      <c r="J243" s="13">
        <f>ROUND(F243*G243,2)</f>
        <v>0</v>
      </c>
      <c r="K243" s="13">
        <v>0</v>
      </c>
      <c r="L243" s="13">
        <f>F243*K243</f>
        <v>0</v>
      </c>
      <c r="N243" s="23" t="s">
        <v>7</v>
      </c>
      <c r="O243" s="13">
        <f>IF(N243="5",I243,0)</f>
        <v>0</v>
      </c>
      <c r="Z243" s="13">
        <f>IF(AD243=0,J243,0)</f>
        <v>0</v>
      </c>
      <c r="AA243" s="13">
        <f>IF(AD243=15,J243,0)</f>
        <v>0</v>
      </c>
      <c r="AB243" s="13">
        <f>IF(AD243=21,J243,0)</f>
        <v>0</v>
      </c>
      <c r="AD243" s="24">
        <v>21</v>
      </c>
      <c r="AE243" s="24">
        <f>G243*0</f>
        <v>0</v>
      </c>
      <c r="AF243" s="24">
        <f>G243*(1-0)</f>
        <v>0</v>
      </c>
    </row>
    <row r="244" spans="1:37">
      <c r="A244" s="6" t="s">
        <v>211</v>
      </c>
      <c r="B244" s="6" t="s">
        <v>312</v>
      </c>
      <c r="C244" s="6" t="s">
        <v>508</v>
      </c>
      <c r="D244" s="6" t="s">
        <v>809</v>
      </c>
      <c r="E244" s="6" t="s">
        <v>932</v>
      </c>
      <c r="F244" s="13">
        <v>1.6</v>
      </c>
      <c r="G244" s="157"/>
      <c r="H244" s="13"/>
      <c r="I244" s="13"/>
      <c r="J244" s="13">
        <f>ROUND(F244*G244,2)</f>
        <v>0</v>
      </c>
      <c r="K244" s="13">
        <v>0</v>
      </c>
      <c r="L244" s="13">
        <f>F244*K244</f>
        <v>0</v>
      </c>
      <c r="N244" s="23" t="s">
        <v>7</v>
      </c>
      <c r="O244" s="13">
        <f>IF(N244="5",I244,0)</f>
        <v>0</v>
      </c>
      <c r="Z244" s="13">
        <f>IF(AD244=0,J244,0)</f>
        <v>0</v>
      </c>
      <c r="AA244" s="13">
        <f>IF(AD244=15,J244,0)</f>
        <v>0</v>
      </c>
      <c r="AB244" s="13">
        <f>IF(AD244=21,J244,0)</f>
        <v>0</v>
      </c>
      <c r="AD244" s="24">
        <v>21</v>
      </c>
      <c r="AE244" s="24">
        <f>G244*0</f>
        <v>0</v>
      </c>
      <c r="AF244" s="24">
        <f>G244*(1-0)</f>
        <v>0</v>
      </c>
    </row>
    <row r="245" spans="1:37">
      <c r="A245" s="6" t="s">
        <v>212</v>
      </c>
      <c r="B245" s="6" t="s">
        <v>312</v>
      </c>
      <c r="C245" s="6" t="s">
        <v>509</v>
      </c>
      <c r="D245" s="6" t="s">
        <v>810</v>
      </c>
      <c r="E245" s="6" t="s">
        <v>932</v>
      </c>
      <c r="F245" s="13">
        <v>1.6</v>
      </c>
      <c r="G245" s="157"/>
      <c r="H245" s="13"/>
      <c r="I245" s="13"/>
      <c r="J245" s="13">
        <f>ROUND(F245*G245,2)</f>
        <v>0</v>
      </c>
      <c r="K245" s="13">
        <v>0</v>
      </c>
      <c r="L245" s="13">
        <f>F245*K245</f>
        <v>0</v>
      </c>
      <c r="N245" s="23" t="s">
        <v>7</v>
      </c>
      <c r="O245" s="13">
        <f>IF(N245="5",I245,0)</f>
        <v>0</v>
      </c>
      <c r="Z245" s="13">
        <f>IF(AD245=0,J245,0)</f>
        <v>0</v>
      </c>
      <c r="AA245" s="13">
        <f>IF(AD245=15,J245,0)</f>
        <v>0</v>
      </c>
      <c r="AB245" s="13">
        <f>IF(AD245=21,J245,0)</f>
        <v>0</v>
      </c>
      <c r="AD245" s="24">
        <v>21</v>
      </c>
      <c r="AE245" s="24">
        <f>G245*0</f>
        <v>0</v>
      </c>
      <c r="AF245" s="24">
        <f>G245*(1-0)</f>
        <v>0</v>
      </c>
    </row>
    <row r="246" spans="1:37">
      <c r="A246" s="6" t="s">
        <v>213</v>
      </c>
      <c r="B246" s="6" t="s">
        <v>312</v>
      </c>
      <c r="C246" s="6" t="s">
        <v>510</v>
      </c>
      <c r="D246" s="6" t="s">
        <v>811</v>
      </c>
      <c r="E246" s="6" t="s">
        <v>932</v>
      </c>
      <c r="F246" s="13">
        <v>1.6</v>
      </c>
      <c r="G246" s="157"/>
      <c r="H246" s="13"/>
      <c r="I246" s="13"/>
      <c r="J246" s="13">
        <f>ROUND(F246*G246,2)</f>
        <v>0</v>
      </c>
      <c r="K246" s="13">
        <v>0</v>
      </c>
      <c r="L246" s="13">
        <f>F246*K246</f>
        <v>0</v>
      </c>
      <c r="N246" s="23" t="s">
        <v>7</v>
      </c>
      <c r="O246" s="13">
        <f>IF(N246="5",I246,0)</f>
        <v>0</v>
      </c>
      <c r="Z246" s="13">
        <f>IF(AD246=0,J246,0)</f>
        <v>0</v>
      </c>
      <c r="AA246" s="13">
        <f>IF(AD246=15,J246,0)</f>
        <v>0</v>
      </c>
      <c r="AB246" s="13">
        <f>IF(AD246=21,J246,0)</f>
        <v>0</v>
      </c>
      <c r="AD246" s="24">
        <v>21</v>
      </c>
      <c r="AE246" s="24">
        <f>G246*0</f>
        <v>0</v>
      </c>
      <c r="AF246" s="24">
        <f>G246*(1-0)</f>
        <v>0</v>
      </c>
    </row>
    <row r="247" spans="1:37">
      <c r="A247" s="4"/>
      <c r="B247" s="4"/>
      <c r="C247" s="114" t="s">
        <v>23</v>
      </c>
      <c r="D247" s="135" t="s">
        <v>812</v>
      </c>
      <c r="E247" s="136"/>
      <c r="F247" s="136"/>
      <c r="G247" s="155"/>
      <c r="H247" s="26"/>
      <c r="I247" s="26"/>
      <c r="J247" s="26"/>
      <c r="K247" s="19"/>
      <c r="L247" s="26">
        <f>SUM(L248:L248)</f>
        <v>0</v>
      </c>
      <c r="P247" s="26">
        <f>IF(Q247="PR",J247,SUM(O248:O248))</f>
        <v>0</v>
      </c>
      <c r="Q247" s="19" t="s">
        <v>956</v>
      </c>
      <c r="R247" s="26">
        <f>IF(Q247="HS",H247,0)</f>
        <v>0</v>
      </c>
      <c r="S247" s="26">
        <f>IF(Q247="HS",I247-P247,0)</f>
        <v>0</v>
      </c>
      <c r="T247" s="26">
        <f>IF(Q247="PS",H247,0)</f>
        <v>0</v>
      </c>
      <c r="U247" s="26">
        <f>IF(Q247="PS",I247-P247,0)</f>
        <v>0</v>
      </c>
      <c r="V247" s="26">
        <f>IF(Q247="MP",H247,0)</f>
        <v>0</v>
      </c>
      <c r="W247" s="26">
        <f>IF(Q247="MP",I247-P247,0)</f>
        <v>0</v>
      </c>
      <c r="X247" s="26">
        <f>IF(Q247="OM",H247,0)</f>
        <v>0</v>
      </c>
      <c r="Y247" s="19" t="s">
        <v>312</v>
      </c>
      <c r="AI247" s="26">
        <f>SUM(Z248:Z248)</f>
        <v>0</v>
      </c>
      <c r="AJ247" s="26">
        <f>SUM(AA248:AA248)</f>
        <v>0</v>
      </c>
      <c r="AK247" s="26">
        <f>SUM(AB248:AB248)</f>
        <v>0</v>
      </c>
    </row>
    <row r="248" spans="1:37">
      <c r="A248" s="6" t="s">
        <v>214</v>
      </c>
      <c r="B248" s="6" t="s">
        <v>312</v>
      </c>
      <c r="C248" s="6" t="s">
        <v>511</v>
      </c>
      <c r="D248" s="6" t="s">
        <v>813</v>
      </c>
      <c r="E248" s="6" t="s">
        <v>932</v>
      </c>
      <c r="F248" s="13">
        <v>2.7</v>
      </c>
      <c r="G248" s="157"/>
      <c r="H248" s="13"/>
      <c r="I248" s="13"/>
      <c r="J248" s="13">
        <f>ROUND(F248*G248,2)</f>
        <v>0</v>
      </c>
      <c r="K248" s="13">
        <v>0</v>
      </c>
      <c r="L248" s="13">
        <f>F248*K248</f>
        <v>0</v>
      </c>
      <c r="N248" s="23" t="s">
        <v>7</v>
      </c>
      <c r="O248" s="13">
        <f>IF(N248="5",I248,0)</f>
        <v>0</v>
      </c>
      <c r="Z248" s="13">
        <f>IF(AD248=0,J248,0)</f>
        <v>0</v>
      </c>
      <c r="AA248" s="13">
        <f>IF(AD248=15,J248,0)</f>
        <v>0</v>
      </c>
      <c r="AB248" s="13">
        <f>IF(AD248=21,J248,0)</f>
        <v>0</v>
      </c>
      <c r="AD248" s="24">
        <v>21</v>
      </c>
      <c r="AE248" s="24">
        <f>G248*0</f>
        <v>0</v>
      </c>
      <c r="AF248" s="24">
        <f>G248*(1-0)</f>
        <v>0</v>
      </c>
    </row>
    <row r="249" spans="1:37">
      <c r="A249" s="4"/>
      <c r="B249" s="4"/>
      <c r="C249" s="114" t="s">
        <v>33</v>
      </c>
      <c r="D249" s="135" t="s">
        <v>814</v>
      </c>
      <c r="E249" s="136"/>
      <c r="F249" s="136"/>
      <c r="G249" s="155"/>
      <c r="H249" s="26"/>
      <c r="I249" s="26"/>
      <c r="J249" s="26"/>
      <c r="K249" s="19"/>
      <c r="L249" s="26">
        <f>SUM(L250:L250)</f>
        <v>0.50974379999999997</v>
      </c>
      <c r="P249" s="26">
        <f>IF(Q249="PR",J249,SUM(O250:O250))</f>
        <v>0</v>
      </c>
      <c r="Q249" s="19" t="s">
        <v>956</v>
      </c>
      <c r="R249" s="26">
        <f>IF(Q249="HS",H249,0)</f>
        <v>0</v>
      </c>
      <c r="S249" s="26">
        <f>IF(Q249="HS",I249-P249,0)</f>
        <v>0</v>
      </c>
      <c r="T249" s="26">
        <f>IF(Q249="PS",H249,0)</f>
        <v>0</v>
      </c>
      <c r="U249" s="26">
        <f>IF(Q249="PS",I249-P249,0)</f>
        <v>0</v>
      </c>
      <c r="V249" s="26">
        <f>IF(Q249="MP",H249,0)</f>
        <v>0</v>
      </c>
      <c r="W249" s="26">
        <f>IF(Q249="MP",I249-P249,0)</f>
        <v>0</v>
      </c>
      <c r="X249" s="26">
        <f>IF(Q249="OM",H249,0)</f>
        <v>0</v>
      </c>
      <c r="Y249" s="19" t="s">
        <v>312</v>
      </c>
      <c r="AI249" s="26">
        <f>SUM(Z250:Z250)</f>
        <v>0</v>
      </c>
      <c r="AJ249" s="26">
        <f>SUM(AA250:AA250)</f>
        <v>0</v>
      </c>
      <c r="AK249" s="26">
        <f>SUM(AB250:AB250)</f>
        <v>0</v>
      </c>
    </row>
    <row r="250" spans="1:37">
      <c r="A250" s="6" t="s">
        <v>215</v>
      </c>
      <c r="B250" s="6" t="s">
        <v>312</v>
      </c>
      <c r="C250" s="6" t="s">
        <v>512</v>
      </c>
      <c r="D250" s="6" t="s">
        <v>815</v>
      </c>
      <c r="E250" s="6" t="s">
        <v>932</v>
      </c>
      <c r="F250" s="13">
        <v>0.18</v>
      </c>
      <c r="G250" s="157"/>
      <c r="H250" s="13"/>
      <c r="I250" s="13"/>
      <c r="J250" s="13">
        <f>ROUND(F250*G250,2)</f>
        <v>0</v>
      </c>
      <c r="K250" s="13">
        <v>2.8319100000000001</v>
      </c>
      <c r="L250" s="13">
        <f>F250*K250</f>
        <v>0.50974379999999997</v>
      </c>
      <c r="N250" s="23" t="s">
        <v>9</v>
      </c>
      <c r="O250" s="13">
        <f>IF(N250="5",I250,0)</f>
        <v>0</v>
      </c>
      <c r="Z250" s="13">
        <f>IF(AD250=0,J250,0)</f>
        <v>0</v>
      </c>
      <c r="AA250" s="13">
        <f>IF(AD250=15,J250,0)</f>
        <v>0</v>
      </c>
      <c r="AB250" s="13">
        <f>IF(AD250=21,J250,0)</f>
        <v>0</v>
      </c>
      <c r="AD250" s="24">
        <v>21</v>
      </c>
      <c r="AE250" s="24">
        <f>G250*0.32839697322468</f>
        <v>0</v>
      </c>
      <c r="AF250" s="24">
        <f>G250*(1-0.32839697322468)</f>
        <v>0</v>
      </c>
    </row>
    <row r="251" spans="1:37">
      <c r="A251" s="4"/>
      <c r="B251" s="4"/>
      <c r="C251" s="114" t="s">
        <v>37</v>
      </c>
      <c r="D251" s="135" t="s">
        <v>816</v>
      </c>
      <c r="E251" s="136"/>
      <c r="F251" s="136"/>
      <c r="G251" s="155"/>
      <c r="H251" s="26"/>
      <c r="I251" s="26"/>
      <c r="J251" s="26"/>
      <c r="K251" s="19"/>
      <c r="L251" s="26">
        <f>SUM(L252:L253)</f>
        <v>3.3246260000000003</v>
      </c>
      <c r="P251" s="26">
        <f>IF(Q251="PR",J251,SUM(O252:O253))</f>
        <v>0</v>
      </c>
      <c r="Q251" s="19" t="s">
        <v>956</v>
      </c>
      <c r="R251" s="26">
        <f>IF(Q251="HS",H251,0)</f>
        <v>0</v>
      </c>
      <c r="S251" s="26">
        <f>IF(Q251="HS",I251-P251,0)</f>
        <v>0</v>
      </c>
      <c r="T251" s="26">
        <f>IF(Q251="PS",H251,0)</f>
        <v>0</v>
      </c>
      <c r="U251" s="26">
        <f>IF(Q251="PS",I251-P251,0)</f>
        <v>0</v>
      </c>
      <c r="V251" s="26">
        <f>IF(Q251="MP",H251,0)</f>
        <v>0</v>
      </c>
      <c r="W251" s="26">
        <f>IF(Q251="MP",I251-P251,0)</f>
        <v>0</v>
      </c>
      <c r="X251" s="26">
        <f>IF(Q251="OM",H251,0)</f>
        <v>0</v>
      </c>
      <c r="Y251" s="19" t="s">
        <v>312</v>
      </c>
      <c r="AI251" s="26">
        <f>SUM(Z252:Z253)</f>
        <v>0</v>
      </c>
      <c r="AJ251" s="26">
        <f>SUM(AA252:AA253)</f>
        <v>0</v>
      </c>
      <c r="AK251" s="26">
        <f>SUM(AB252:AB253)</f>
        <v>0</v>
      </c>
    </row>
    <row r="252" spans="1:37">
      <c r="A252" s="6" t="s">
        <v>216</v>
      </c>
      <c r="B252" s="6" t="s">
        <v>312</v>
      </c>
      <c r="C252" s="6" t="s">
        <v>513</v>
      </c>
      <c r="D252" s="6" t="s">
        <v>817</v>
      </c>
      <c r="E252" s="6" t="s">
        <v>932</v>
      </c>
      <c r="F252" s="13">
        <v>1.35</v>
      </c>
      <c r="G252" s="157"/>
      <c r="H252" s="13"/>
      <c r="I252" s="13"/>
      <c r="J252" s="13">
        <f>ROUND(F252*G252,2)</f>
        <v>0</v>
      </c>
      <c r="K252" s="13">
        <v>1.73916</v>
      </c>
      <c r="L252" s="13">
        <f>F252*K252</f>
        <v>2.3478660000000002</v>
      </c>
      <c r="N252" s="23" t="s">
        <v>7</v>
      </c>
      <c r="O252" s="13">
        <f>IF(N252="5",I252,0)</f>
        <v>0</v>
      </c>
      <c r="Z252" s="13">
        <f>IF(AD252=0,J252,0)</f>
        <v>0</v>
      </c>
      <c r="AA252" s="13">
        <f>IF(AD252=15,J252,0)</f>
        <v>0</v>
      </c>
      <c r="AB252" s="13">
        <f>IF(AD252=21,J252,0)</f>
        <v>0</v>
      </c>
      <c r="AD252" s="24">
        <v>21</v>
      </c>
      <c r="AE252" s="24">
        <f>G252*0.747185682326622</f>
        <v>0</v>
      </c>
      <c r="AF252" s="24">
        <f>G252*(1-0.747185682326622)</f>
        <v>0</v>
      </c>
    </row>
    <row r="253" spans="1:37">
      <c r="A253" s="6" t="s">
        <v>217</v>
      </c>
      <c r="B253" s="6" t="s">
        <v>312</v>
      </c>
      <c r="C253" s="6" t="s">
        <v>514</v>
      </c>
      <c r="D253" s="6" t="s">
        <v>818</v>
      </c>
      <c r="E253" s="6" t="s">
        <v>932</v>
      </c>
      <c r="F253" s="13">
        <v>0.5</v>
      </c>
      <c r="G253" s="157"/>
      <c r="H253" s="13"/>
      <c r="I253" s="13"/>
      <c r="J253" s="13">
        <f>ROUND(F253*G253,2)</f>
        <v>0</v>
      </c>
      <c r="K253" s="13">
        <v>1.9535199999999999</v>
      </c>
      <c r="L253" s="13">
        <f>F253*K253</f>
        <v>0.97675999999999996</v>
      </c>
      <c r="N253" s="23" t="s">
        <v>7</v>
      </c>
      <c r="O253" s="13">
        <f>IF(N253="5",I253,0)</f>
        <v>0</v>
      </c>
      <c r="Z253" s="13">
        <f>IF(AD253=0,J253,0)</f>
        <v>0</v>
      </c>
      <c r="AA253" s="13">
        <f>IF(AD253=15,J253,0)</f>
        <v>0</v>
      </c>
      <c r="AB253" s="13">
        <f>IF(AD253=21,J253,0)</f>
        <v>0</v>
      </c>
      <c r="AD253" s="24">
        <v>21</v>
      </c>
      <c r="AE253" s="24">
        <f>G253*0.729945607144913</f>
        <v>0</v>
      </c>
      <c r="AF253" s="24">
        <f>G253*(1-0.729945607144913)</f>
        <v>0</v>
      </c>
    </row>
    <row r="254" spans="1:37">
      <c r="A254" s="4"/>
      <c r="B254" s="4"/>
      <c r="C254" s="114" t="s">
        <v>51</v>
      </c>
      <c r="D254" s="135" t="s">
        <v>819</v>
      </c>
      <c r="E254" s="136"/>
      <c r="F254" s="136"/>
      <c r="G254" s="155"/>
      <c r="H254" s="26"/>
      <c r="I254" s="26"/>
      <c r="J254" s="26"/>
      <c r="K254" s="19"/>
      <c r="L254" s="26">
        <f>SUM(L255:L255)</f>
        <v>2.7254400000000003</v>
      </c>
      <c r="P254" s="26">
        <f>IF(Q254="PR",J254,SUM(O255:O255))</f>
        <v>0</v>
      </c>
      <c r="Q254" s="19" t="s">
        <v>956</v>
      </c>
      <c r="R254" s="26">
        <f>IF(Q254="HS",H254,0)</f>
        <v>0</v>
      </c>
      <c r="S254" s="26">
        <f>IF(Q254="HS",I254-P254,0)</f>
        <v>0</v>
      </c>
      <c r="T254" s="26">
        <f>IF(Q254="PS",H254,0)</f>
        <v>0</v>
      </c>
      <c r="U254" s="26">
        <f>IF(Q254="PS",I254-P254,0)</f>
        <v>0</v>
      </c>
      <c r="V254" s="26">
        <f>IF(Q254="MP",H254,0)</f>
        <v>0</v>
      </c>
      <c r="W254" s="26">
        <f>IF(Q254="MP",I254-P254,0)</f>
        <v>0</v>
      </c>
      <c r="X254" s="26">
        <f>IF(Q254="OM",H254,0)</f>
        <v>0</v>
      </c>
      <c r="Y254" s="19" t="s">
        <v>312</v>
      </c>
      <c r="AI254" s="26">
        <f>SUM(Z255:Z255)</f>
        <v>0</v>
      </c>
      <c r="AJ254" s="26">
        <f>SUM(AA255:AA255)</f>
        <v>0</v>
      </c>
      <c r="AK254" s="26">
        <f>SUM(AB255:AB255)</f>
        <v>0</v>
      </c>
    </row>
    <row r="255" spans="1:37">
      <c r="A255" s="6" t="s">
        <v>218</v>
      </c>
      <c r="B255" s="6" t="s">
        <v>312</v>
      </c>
      <c r="C255" s="6" t="s">
        <v>515</v>
      </c>
      <c r="D255" s="6" t="s">
        <v>820</v>
      </c>
      <c r="E255" s="6" t="s">
        <v>932</v>
      </c>
      <c r="F255" s="13">
        <v>1.6</v>
      </c>
      <c r="G255" s="157"/>
      <c r="H255" s="13"/>
      <c r="I255" s="13"/>
      <c r="J255" s="13">
        <f>ROUND(F255*G255,2)</f>
        <v>0</v>
      </c>
      <c r="K255" s="13">
        <v>1.7034</v>
      </c>
      <c r="L255" s="13">
        <f>F255*K255</f>
        <v>2.7254400000000003</v>
      </c>
      <c r="N255" s="23" t="s">
        <v>7</v>
      </c>
      <c r="O255" s="13">
        <f>IF(N255="5",I255,0)</f>
        <v>0</v>
      </c>
      <c r="Z255" s="13">
        <f>IF(AD255=0,J255,0)</f>
        <v>0</v>
      </c>
      <c r="AA255" s="13">
        <f>IF(AD255=15,J255,0)</f>
        <v>0</v>
      </c>
      <c r="AB255" s="13">
        <f>IF(AD255=21,J255,0)</f>
        <v>0</v>
      </c>
      <c r="AD255" s="24">
        <v>21</v>
      </c>
      <c r="AE255" s="24">
        <f>G255*0.689968186638388</f>
        <v>0</v>
      </c>
      <c r="AF255" s="24">
        <f>G255*(1-0.689968186638388)</f>
        <v>0</v>
      </c>
    </row>
    <row r="256" spans="1:37">
      <c r="A256" s="4"/>
      <c r="B256" s="4"/>
      <c r="C256" s="114" t="s">
        <v>67</v>
      </c>
      <c r="D256" s="135" t="s">
        <v>821</v>
      </c>
      <c r="E256" s="136"/>
      <c r="F256" s="136"/>
      <c r="G256" s="155"/>
      <c r="H256" s="26"/>
      <c r="I256" s="26"/>
      <c r="J256" s="26"/>
      <c r="K256" s="19"/>
      <c r="L256" s="26">
        <f>SUM(L257:L266)</f>
        <v>3.102274</v>
      </c>
      <c r="P256" s="26">
        <f>IF(Q256="PR",J256,SUM(O257:O266))</f>
        <v>0</v>
      </c>
      <c r="Q256" s="19" t="s">
        <v>956</v>
      </c>
      <c r="R256" s="26">
        <f>IF(Q256="HS",H256,0)</f>
        <v>0</v>
      </c>
      <c r="S256" s="26">
        <f>IF(Q256="HS",I256-P256,0)</f>
        <v>0</v>
      </c>
      <c r="T256" s="26">
        <f>IF(Q256="PS",H256,0)</f>
        <v>0</v>
      </c>
      <c r="U256" s="26">
        <f>IF(Q256="PS",I256-P256,0)</f>
        <v>0</v>
      </c>
      <c r="V256" s="26">
        <f>IF(Q256="MP",H256,0)</f>
        <v>0</v>
      </c>
      <c r="W256" s="26">
        <f>IF(Q256="MP",I256-P256,0)</f>
        <v>0</v>
      </c>
      <c r="X256" s="26">
        <f>IF(Q256="OM",H256,0)</f>
        <v>0</v>
      </c>
      <c r="Y256" s="19" t="s">
        <v>312</v>
      </c>
      <c r="AI256" s="26">
        <f>SUM(Z257:Z266)</f>
        <v>0</v>
      </c>
      <c r="AJ256" s="26">
        <f>SUM(AA257:AA266)</f>
        <v>0</v>
      </c>
      <c r="AK256" s="26">
        <f>SUM(AB257:AB266)</f>
        <v>0</v>
      </c>
    </row>
    <row r="257" spans="1:37">
      <c r="A257" s="6" t="s">
        <v>219</v>
      </c>
      <c r="B257" s="6" t="s">
        <v>312</v>
      </c>
      <c r="C257" s="6" t="s">
        <v>516</v>
      </c>
      <c r="D257" s="6" t="s">
        <v>822</v>
      </c>
      <c r="E257" s="6" t="s">
        <v>929</v>
      </c>
      <c r="F257" s="13">
        <v>60.3</v>
      </c>
      <c r="G257" s="157"/>
      <c r="H257" s="13"/>
      <c r="I257" s="13"/>
      <c r="J257" s="13">
        <f t="shared" ref="J257:J266" si="98">ROUND(F257*G257,2)</f>
        <v>0</v>
      </c>
      <c r="K257" s="13">
        <v>3.0699999999999998E-3</v>
      </c>
      <c r="L257" s="13">
        <f t="shared" ref="L257:L266" si="99">F257*K257</f>
        <v>0.18512099999999998</v>
      </c>
      <c r="N257" s="23" t="s">
        <v>7</v>
      </c>
      <c r="O257" s="13">
        <f t="shared" ref="O257:O266" si="100">IF(N257="5",I257,0)</f>
        <v>0</v>
      </c>
      <c r="Z257" s="13">
        <f t="shared" ref="Z257:Z266" si="101">IF(AD257=0,J257,0)</f>
        <v>0</v>
      </c>
      <c r="AA257" s="13">
        <f t="shared" ref="AA257:AA266" si="102">IF(AD257=15,J257,0)</f>
        <v>0</v>
      </c>
      <c r="AB257" s="13">
        <f t="shared" ref="AB257:AB266" si="103">IF(AD257=21,J257,0)</f>
        <v>0</v>
      </c>
      <c r="AD257" s="24">
        <v>21</v>
      </c>
      <c r="AE257" s="24">
        <f>G257*0.14536231884058</f>
        <v>0</v>
      </c>
      <c r="AF257" s="24">
        <f>G257*(1-0.14536231884058)</f>
        <v>0</v>
      </c>
    </row>
    <row r="258" spans="1:37">
      <c r="A258" s="6" t="s">
        <v>220</v>
      </c>
      <c r="B258" s="6" t="s">
        <v>312</v>
      </c>
      <c r="C258" s="6" t="s">
        <v>517</v>
      </c>
      <c r="D258" s="6" t="s">
        <v>823</v>
      </c>
      <c r="E258" s="6" t="s">
        <v>929</v>
      </c>
      <c r="F258" s="13">
        <v>60.3</v>
      </c>
      <c r="G258" s="157"/>
      <c r="H258" s="13"/>
      <c r="I258" s="13"/>
      <c r="J258" s="13">
        <f t="shared" si="98"/>
        <v>0</v>
      </c>
      <c r="K258" s="13">
        <v>3.8000000000000002E-4</v>
      </c>
      <c r="L258" s="13">
        <f t="shared" si="99"/>
        <v>2.2914E-2</v>
      </c>
      <c r="N258" s="23" t="s">
        <v>7</v>
      </c>
      <c r="O258" s="13">
        <f t="shared" si="100"/>
        <v>0</v>
      </c>
      <c r="Z258" s="13">
        <f t="shared" si="101"/>
        <v>0</v>
      </c>
      <c r="AA258" s="13">
        <f t="shared" si="102"/>
        <v>0</v>
      </c>
      <c r="AB258" s="13">
        <f t="shared" si="103"/>
        <v>0</v>
      </c>
      <c r="AD258" s="24">
        <v>21</v>
      </c>
      <c r="AE258" s="24">
        <f>G258*0.441527446300716</f>
        <v>0</v>
      </c>
      <c r="AF258" s="24">
        <f>G258*(1-0.441527446300716)</f>
        <v>0</v>
      </c>
    </row>
    <row r="259" spans="1:37">
      <c r="A259" s="6" t="s">
        <v>221</v>
      </c>
      <c r="B259" s="6" t="s">
        <v>312</v>
      </c>
      <c r="C259" s="6" t="s">
        <v>518</v>
      </c>
      <c r="D259" s="6" t="s">
        <v>824</v>
      </c>
      <c r="E259" s="6" t="s">
        <v>929</v>
      </c>
      <c r="F259" s="13">
        <v>95</v>
      </c>
      <c r="G259" s="157"/>
      <c r="H259" s="13"/>
      <c r="I259" s="13"/>
      <c r="J259" s="13">
        <f t="shared" si="98"/>
        <v>0</v>
      </c>
      <c r="K259" s="13">
        <v>4.8999999999999998E-3</v>
      </c>
      <c r="L259" s="13">
        <f t="shared" si="99"/>
        <v>0.46549999999999997</v>
      </c>
      <c r="N259" s="23" t="s">
        <v>7</v>
      </c>
      <c r="O259" s="13">
        <f t="shared" si="100"/>
        <v>0</v>
      </c>
      <c r="Z259" s="13">
        <f t="shared" si="101"/>
        <v>0</v>
      </c>
      <c r="AA259" s="13">
        <f t="shared" si="102"/>
        <v>0</v>
      </c>
      <c r="AB259" s="13">
        <f t="shared" si="103"/>
        <v>0</v>
      </c>
      <c r="AD259" s="24">
        <v>21</v>
      </c>
      <c r="AE259" s="24">
        <f>G259*0.170983500783482</f>
        <v>0</v>
      </c>
      <c r="AF259" s="24">
        <f>G259*(1-0.170983500783482)</f>
        <v>0</v>
      </c>
    </row>
    <row r="260" spans="1:37">
      <c r="A260" s="6" t="s">
        <v>222</v>
      </c>
      <c r="B260" s="6" t="s">
        <v>312</v>
      </c>
      <c r="C260" s="6" t="s">
        <v>519</v>
      </c>
      <c r="D260" s="6" t="s">
        <v>825</v>
      </c>
      <c r="E260" s="6" t="s">
        <v>929</v>
      </c>
      <c r="F260" s="13">
        <v>95</v>
      </c>
      <c r="G260" s="157"/>
      <c r="H260" s="13"/>
      <c r="I260" s="13"/>
      <c r="J260" s="13">
        <f t="shared" si="98"/>
        <v>0</v>
      </c>
      <c r="K260" s="13">
        <v>3.8000000000000002E-4</v>
      </c>
      <c r="L260" s="13">
        <f t="shared" si="99"/>
        <v>3.61E-2</v>
      </c>
      <c r="N260" s="23" t="s">
        <v>7</v>
      </c>
      <c r="O260" s="13">
        <f t="shared" si="100"/>
        <v>0</v>
      </c>
      <c r="Z260" s="13">
        <f t="shared" si="101"/>
        <v>0</v>
      </c>
      <c r="AA260" s="13">
        <f t="shared" si="102"/>
        <v>0</v>
      </c>
      <c r="AB260" s="13">
        <f t="shared" si="103"/>
        <v>0</v>
      </c>
      <c r="AD260" s="24">
        <v>21</v>
      </c>
      <c r="AE260" s="24">
        <f>G260*0.476092544987147</f>
        <v>0</v>
      </c>
      <c r="AF260" s="24">
        <f>G260*(1-0.476092544987147)</f>
        <v>0</v>
      </c>
    </row>
    <row r="261" spans="1:37">
      <c r="A261" s="6" t="s">
        <v>223</v>
      </c>
      <c r="B261" s="6" t="s">
        <v>312</v>
      </c>
      <c r="C261" s="6" t="s">
        <v>520</v>
      </c>
      <c r="D261" s="6" t="s">
        <v>826</v>
      </c>
      <c r="E261" s="6" t="s">
        <v>929</v>
      </c>
      <c r="F261" s="13">
        <v>60.3</v>
      </c>
      <c r="G261" s="157"/>
      <c r="H261" s="13"/>
      <c r="I261" s="13"/>
      <c r="J261" s="13">
        <f t="shared" si="98"/>
        <v>0</v>
      </c>
      <c r="K261" s="13">
        <v>5.7400000000000003E-3</v>
      </c>
      <c r="L261" s="13">
        <f t="shared" si="99"/>
        <v>0.34612199999999999</v>
      </c>
      <c r="N261" s="23" t="s">
        <v>7</v>
      </c>
      <c r="O261" s="13">
        <f t="shared" si="100"/>
        <v>0</v>
      </c>
      <c r="Z261" s="13">
        <f t="shared" si="101"/>
        <v>0</v>
      </c>
      <c r="AA261" s="13">
        <f t="shared" si="102"/>
        <v>0</v>
      </c>
      <c r="AB261" s="13">
        <f t="shared" si="103"/>
        <v>0</v>
      </c>
      <c r="AD261" s="24">
        <v>21</v>
      </c>
      <c r="AE261" s="24">
        <f>G261*0.202199413489736</f>
        <v>0</v>
      </c>
      <c r="AF261" s="24">
        <f>G261*(1-0.202199413489736)</f>
        <v>0</v>
      </c>
    </row>
    <row r="262" spans="1:37">
      <c r="A262" s="6" t="s">
        <v>224</v>
      </c>
      <c r="B262" s="6" t="s">
        <v>312</v>
      </c>
      <c r="C262" s="6" t="s">
        <v>521</v>
      </c>
      <c r="D262" s="6" t="s">
        <v>827</v>
      </c>
      <c r="E262" s="6" t="s">
        <v>929</v>
      </c>
      <c r="F262" s="13">
        <v>95</v>
      </c>
      <c r="G262" s="157"/>
      <c r="H262" s="13"/>
      <c r="I262" s="13"/>
      <c r="J262" s="13">
        <f t="shared" si="98"/>
        <v>0</v>
      </c>
      <c r="K262" s="13">
        <v>5.3400000000000001E-3</v>
      </c>
      <c r="L262" s="13">
        <f t="shared" si="99"/>
        <v>0.50729999999999997</v>
      </c>
      <c r="N262" s="23" t="s">
        <v>7</v>
      </c>
      <c r="O262" s="13">
        <f t="shared" si="100"/>
        <v>0</v>
      </c>
      <c r="Z262" s="13">
        <f t="shared" si="101"/>
        <v>0</v>
      </c>
      <c r="AA262" s="13">
        <f t="shared" si="102"/>
        <v>0</v>
      </c>
      <c r="AB262" s="13">
        <f t="shared" si="103"/>
        <v>0</v>
      </c>
      <c r="AD262" s="24">
        <v>21</v>
      </c>
      <c r="AE262" s="24">
        <f>G262*0.129619565217391</f>
        <v>0</v>
      </c>
      <c r="AF262" s="24">
        <f>G262*(1-0.129619565217391)</f>
        <v>0</v>
      </c>
    </row>
    <row r="263" spans="1:37">
      <c r="A263" s="6" t="s">
        <v>225</v>
      </c>
      <c r="B263" s="6" t="s">
        <v>312</v>
      </c>
      <c r="C263" s="6" t="s">
        <v>522</v>
      </c>
      <c r="D263" s="6" t="s">
        <v>828</v>
      </c>
      <c r="E263" s="6" t="s">
        <v>929</v>
      </c>
      <c r="F263" s="13">
        <v>2.5</v>
      </c>
      <c r="G263" s="157"/>
      <c r="H263" s="13"/>
      <c r="I263" s="13"/>
      <c r="J263" s="13">
        <f t="shared" si="98"/>
        <v>0</v>
      </c>
      <c r="K263" s="13">
        <v>3.3709999999999997E-2</v>
      </c>
      <c r="L263" s="13">
        <f t="shared" si="99"/>
        <v>8.4274999999999989E-2</v>
      </c>
      <c r="N263" s="23" t="s">
        <v>7</v>
      </c>
      <c r="O263" s="13">
        <f t="shared" si="100"/>
        <v>0</v>
      </c>
      <c r="Z263" s="13">
        <f t="shared" si="101"/>
        <v>0</v>
      </c>
      <c r="AA263" s="13">
        <f t="shared" si="102"/>
        <v>0</v>
      </c>
      <c r="AB263" s="13">
        <f t="shared" si="103"/>
        <v>0</v>
      </c>
      <c r="AD263" s="24">
        <v>21</v>
      </c>
      <c r="AE263" s="24">
        <f>G263*0.272164750957854</f>
        <v>0</v>
      </c>
      <c r="AF263" s="24">
        <f>G263*(1-0.272164750957854)</f>
        <v>0</v>
      </c>
    </row>
    <row r="264" spans="1:37">
      <c r="A264" s="6" t="s">
        <v>226</v>
      </c>
      <c r="B264" s="6" t="s">
        <v>312</v>
      </c>
      <c r="C264" s="6" t="s">
        <v>523</v>
      </c>
      <c r="D264" s="6" t="s">
        <v>829</v>
      </c>
      <c r="E264" s="6" t="s">
        <v>929</v>
      </c>
      <c r="F264" s="13">
        <v>52</v>
      </c>
      <c r="G264" s="157"/>
      <c r="H264" s="13"/>
      <c r="I264" s="13"/>
      <c r="J264" s="13">
        <f t="shared" si="98"/>
        <v>0</v>
      </c>
      <c r="K264" s="13">
        <v>2.495E-2</v>
      </c>
      <c r="L264" s="13">
        <f t="shared" si="99"/>
        <v>1.2974000000000001</v>
      </c>
      <c r="N264" s="23" t="s">
        <v>7</v>
      </c>
      <c r="O264" s="13">
        <f t="shared" si="100"/>
        <v>0</v>
      </c>
      <c r="Z264" s="13">
        <f t="shared" si="101"/>
        <v>0</v>
      </c>
      <c r="AA264" s="13">
        <f t="shared" si="102"/>
        <v>0</v>
      </c>
      <c r="AB264" s="13">
        <f t="shared" si="103"/>
        <v>0</v>
      </c>
      <c r="AD264" s="24">
        <v>21</v>
      </c>
      <c r="AE264" s="24">
        <f>G264*0.467676585202199</f>
        <v>0</v>
      </c>
      <c r="AF264" s="24">
        <f>G264*(1-0.467676585202199)</f>
        <v>0</v>
      </c>
    </row>
    <row r="265" spans="1:37">
      <c r="A265" s="6" t="s">
        <v>227</v>
      </c>
      <c r="B265" s="6" t="s">
        <v>312</v>
      </c>
      <c r="C265" s="6" t="s">
        <v>524</v>
      </c>
      <c r="D265" s="6" t="s">
        <v>830</v>
      </c>
      <c r="E265" s="6" t="s">
        <v>929</v>
      </c>
      <c r="F265" s="13">
        <v>3.3</v>
      </c>
      <c r="G265" s="157"/>
      <c r="H265" s="13"/>
      <c r="I265" s="13"/>
      <c r="J265" s="13">
        <f t="shared" si="98"/>
        <v>0</v>
      </c>
      <c r="K265" s="13">
        <v>6.0899999999999999E-3</v>
      </c>
      <c r="L265" s="13">
        <f t="shared" si="99"/>
        <v>2.0097E-2</v>
      </c>
      <c r="N265" s="23" t="s">
        <v>7</v>
      </c>
      <c r="O265" s="13">
        <f t="shared" si="100"/>
        <v>0</v>
      </c>
      <c r="Z265" s="13">
        <f t="shared" si="101"/>
        <v>0</v>
      </c>
      <c r="AA265" s="13">
        <f t="shared" si="102"/>
        <v>0</v>
      </c>
      <c r="AB265" s="13">
        <f t="shared" si="103"/>
        <v>0</v>
      </c>
      <c r="AD265" s="24">
        <v>21</v>
      </c>
      <c r="AE265" s="24">
        <f>G265*0.661435897435897</f>
        <v>0</v>
      </c>
      <c r="AF265" s="24">
        <f>G265*(1-0.661435897435897)</f>
        <v>0</v>
      </c>
    </row>
    <row r="266" spans="1:37">
      <c r="A266" s="6" t="s">
        <v>228</v>
      </c>
      <c r="B266" s="6" t="s">
        <v>312</v>
      </c>
      <c r="C266" s="6" t="s">
        <v>525</v>
      </c>
      <c r="D266" s="6" t="s">
        <v>831</v>
      </c>
      <c r="E266" s="6" t="s">
        <v>929</v>
      </c>
      <c r="F266" s="13">
        <v>3.3</v>
      </c>
      <c r="G266" s="157"/>
      <c r="H266" s="13"/>
      <c r="I266" s="13"/>
      <c r="J266" s="13">
        <f t="shared" si="98"/>
        <v>0</v>
      </c>
      <c r="K266" s="13">
        <v>4.165E-2</v>
      </c>
      <c r="L266" s="13">
        <f t="shared" si="99"/>
        <v>0.13744499999999998</v>
      </c>
      <c r="N266" s="23" t="s">
        <v>7</v>
      </c>
      <c r="O266" s="13">
        <f t="shared" si="100"/>
        <v>0</v>
      </c>
      <c r="Z266" s="13">
        <f t="shared" si="101"/>
        <v>0</v>
      </c>
      <c r="AA266" s="13">
        <f t="shared" si="102"/>
        <v>0</v>
      </c>
      <c r="AB266" s="13">
        <f t="shared" si="103"/>
        <v>0</v>
      </c>
      <c r="AD266" s="24">
        <v>21</v>
      </c>
      <c r="AE266" s="24">
        <f>G266*0.779926900584795</f>
        <v>0</v>
      </c>
      <c r="AF266" s="24">
        <f>G266*(1-0.779926900584795)</f>
        <v>0</v>
      </c>
    </row>
    <row r="267" spans="1:37">
      <c r="A267" s="4"/>
      <c r="B267" s="4"/>
      <c r="C267" s="114" t="s">
        <v>69</v>
      </c>
      <c r="D267" s="135" t="s">
        <v>832</v>
      </c>
      <c r="E267" s="136"/>
      <c r="F267" s="136"/>
      <c r="G267" s="155"/>
      <c r="H267" s="26"/>
      <c r="I267" s="26"/>
      <c r="J267" s="26"/>
      <c r="K267" s="19"/>
      <c r="L267" s="26">
        <f>SUM(L268:L272)</f>
        <v>16.966747600000001</v>
      </c>
      <c r="P267" s="26">
        <f>IF(Q267="PR",J267,SUM(O268:O272))</f>
        <v>0</v>
      </c>
      <c r="Q267" s="19" t="s">
        <v>956</v>
      </c>
      <c r="R267" s="26">
        <f>IF(Q267="HS",H267,0)</f>
        <v>0</v>
      </c>
      <c r="S267" s="26">
        <f>IF(Q267="HS",I267-P267,0)</f>
        <v>0</v>
      </c>
      <c r="T267" s="26">
        <f>IF(Q267="PS",H267,0)</f>
        <v>0</v>
      </c>
      <c r="U267" s="26">
        <f>IF(Q267="PS",I267-P267,0)</f>
        <v>0</v>
      </c>
      <c r="V267" s="26">
        <f>IF(Q267="MP",H267,0)</f>
        <v>0</v>
      </c>
      <c r="W267" s="26">
        <f>IF(Q267="MP",I267-P267,0)</f>
        <v>0</v>
      </c>
      <c r="X267" s="26">
        <f>IF(Q267="OM",H267,0)</f>
        <v>0</v>
      </c>
      <c r="Y267" s="19" t="s">
        <v>312</v>
      </c>
      <c r="AI267" s="26">
        <f>SUM(Z268:Z272)</f>
        <v>0</v>
      </c>
      <c r="AJ267" s="26">
        <f>SUM(AA268:AA272)</f>
        <v>0</v>
      </c>
      <c r="AK267" s="26">
        <f>SUM(AB268:AB272)</f>
        <v>0</v>
      </c>
    </row>
    <row r="268" spans="1:37">
      <c r="A268" s="6" t="s">
        <v>229</v>
      </c>
      <c r="B268" s="6" t="s">
        <v>312</v>
      </c>
      <c r="C268" s="6" t="s">
        <v>526</v>
      </c>
      <c r="D268" s="6" t="s">
        <v>833</v>
      </c>
      <c r="E268" s="6" t="s">
        <v>929</v>
      </c>
      <c r="F268" s="13">
        <v>3.3</v>
      </c>
      <c r="G268" s="157"/>
      <c r="H268" s="13"/>
      <c r="I268" s="13"/>
      <c r="J268" s="13">
        <f>ROUND(F268*G268,2)</f>
        <v>0</v>
      </c>
      <c r="K268" s="13">
        <v>0</v>
      </c>
      <c r="L268" s="13">
        <f>F268*K268</f>
        <v>0</v>
      </c>
      <c r="N268" s="23" t="s">
        <v>7</v>
      </c>
      <c r="O268" s="13">
        <f>IF(N268="5",I268,0)</f>
        <v>0</v>
      </c>
      <c r="Z268" s="13">
        <f>IF(AD268=0,J268,0)</f>
        <v>0</v>
      </c>
      <c r="AA268" s="13">
        <f>IF(AD268=15,J268,0)</f>
        <v>0</v>
      </c>
      <c r="AB268" s="13">
        <f>IF(AD268=21,J268,0)</f>
        <v>0</v>
      </c>
      <c r="AD268" s="24">
        <v>21</v>
      </c>
      <c r="AE268" s="24">
        <f>G268*0</f>
        <v>0</v>
      </c>
      <c r="AF268" s="24">
        <f>G268*(1-0)</f>
        <v>0</v>
      </c>
    </row>
    <row r="269" spans="1:37">
      <c r="A269" s="6" t="s">
        <v>230</v>
      </c>
      <c r="B269" s="6" t="s">
        <v>312</v>
      </c>
      <c r="C269" s="6" t="s">
        <v>527</v>
      </c>
      <c r="D269" s="6" t="s">
        <v>834</v>
      </c>
      <c r="E269" s="6" t="s">
        <v>932</v>
      </c>
      <c r="F269" s="13">
        <v>1.82</v>
      </c>
      <c r="G269" s="157"/>
      <c r="H269" s="13"/>
      <c r="I269" s="13"/>
      <c r="J269" s="13">
        <f>ROUND(F269*G269,2)</f>
        <v>0</v>
      </c>
      <c r="K269" s="13">
        <v>2.42198</v>
      </c>
      <c r="L269" s="13">
        <f>F269*K269</f>
        <v>4.4080035999999998</v>
      </c>
      <c r="N269" s="23" t="s">
        <v>7</v>
      </c>
      <c r="O269" s="13">
        <f>IF(N269="5",I269,0)</f>
        <v>0</v>
      </c>
      <c r="Z269" s="13">
        <f>IF(AD269=0,J269,0)</f>
        <v>0</v>
      </c>
      <c r="AA269" s="13">
        <f>IF(AD269=15,J269,0)</f>
        <v>0</v>
      </c>
      <c r="AB269" s="13">
        <f>IF(AD269=21,J269,0)</f>
        <v>0</v>
      </c>
      <c r="AD269" s="24">
        <v>21</v>
      </c>
      <c r="AE269" s="24">
        <f>G269*0.750596061114768</f>
        <v>0</v>
      </c>
      <c r="AF269" s="24">
        <f>G269*(1-0.750596061114768)</f>
        <v>0</v>
      </c>
    </row>
    <row r="270" spans="1:37">
      <c r="A270" s="6" t="s">
        <v>231</v>
      </c>
      <c r="B270" s="6" t="s">
        <v>312</v>
      </c>
      <c r="C270" s="6" t="s">
        <v>528</v>
      </c>
      <c r="D270" s="6" t="s">
        <v>835</v>
      </c>
      <c r="E270" s="6" t="s">
        <v>932</v>
      </c>
      <c r="F270" s="13">
        <v>5.28</v>
      </c>
      <c r="G270" s="157"/>
      <c r="H270" s="13"/>
      <c r="I270" s="13"/>
      <c r="J270" s="13">
        <f>ROUND(F270*G270,2)</f>
        <v>0</v>
      </c>
      <c r="K270" s="13">
        <v>2.3785500000000002</v>
      </c>
      <c r="L270" s="13">
        <f>F270*K270</f>
        <v>12.558744000000001</v>
      </c>
      <c r="N270" s="23" t="s">
        <v>7</v>
      </c>
      <c r="O270" s="13">
        <f>IF(N270="5",I270,0)</f>
        <v>0</v>
      </c>
      <c r="Z270" s="13">
        <f>IF(AD270=0,J270,0)</f>
        <v>0</v>
      </c>
      <c r="AA270" s="13">
        <f>IF(AD270=15,J270,0)</f>
        <v>0</v>
      </c>
      <c r="AB270" s="13">
        <f>IF(AD270=21,J270,0)</f>
        <v>0</v>
      </c>
      <c r="AD270" s="24">
        <v>21</v>
      </c>
      <c r="AE270" s="24">
        <f>G270*0.785092071893263</f>
        <v>0</v>
      </c>
      <c r="AF270" s="24">
        <f>G270*(1-0.785092071893263)</f>
        <v>0</v>
      </c>
    </row>
    <row r="271" spans="1:37">
      <c r="A271" s="6" t="s">
        <v>232</v>
      </c>
      <c r="B271" s="6" t="s">
        <v>312</v>
      </c>
      <c r="C271" s="6" t="s">
        <v>529</v>
      </c>
      <c r="D271" s="6" t="s">
        <v>836</v>
      </c>
      <c r="E271" s="6" t="s">
        <v>932</v>
      </c>
      <c r="F271" s="13">
        <v>1.82</v>
      </c>
      <c r="G271" s="157"/>
      <c r="H271" s="13"/>
      <c r="I271" s="13"/>
      <c r="J271" s="13">
        <f>ROUND(F271*G271,2)</f>
        <v>0</v>
      </c>
      <c r="K271" s="13">
        <v>0</v>
      </c>
      <c r="L271" s="13">
        <f>F271*K271</f>
        <v>0</v>
      </c>
      <c r="N271" s="23" t="s">
        <v>7</v>
      </c>
      <c r="O271" s="13">
        <f>IF(N271="5",I271,0)</f>
        <v>0</v>
      </c>
      <c r="Z271" s="13">
        <f>IF(AD271=0,J271,0)</f>
        <v>0</v>
      </c>
      <c r="AA271" s="13">
        <f>IF(AD271=15,J271,0)</f>
        <v>0</v>
      </c>
      <c r="AB271" s="13">
        <f>IF(AD271=21,J271,0)</f>
        <v>0</v>
      </c>
      <c r="AD271" s="24">
        <v>21</v>
      </c>
      <c r="AE271" s="24">
        <f>G271*0</f>
        <v>0</v>
      </c>
      <c r="AF271" s="24">
        <f>G271*(1-0)</f>
        <v>0</v>
      </c>
    </row>
    <row r="272" spans="1:37">
      <c r="A272" s="6" t="s">
        <v>233</v>
      </c>
      <c r="B272" s="6" t="s">
        <v>312</v>
      </c>
      <c r="C272" s="6" t="s">
        <v>530</v>
      </c>
      <c r="D272" s="6" t="s">
        <v>837</v>
      </c>
      <c r="E272" s="6" t="s">
        <v>932</v>
      </c>
      <c r="F272" s="13">
        <v>1.82</v>
      </c>
      <c r="G272" s="157"/>
      <c r="H272" s="13"/>
      <c r="I272" s="13"/>
      <c r="J272" s="13">
        <f>ROUND(F272*G272,2)</f>
        <v>0</v>
      </c>
      <c r="K272" s="13">
        <v>0</v>
      </c>
      <c r="L272" s="13">
        <f>F272*K272</f>
        <v>0</v>
      </c>
      <c r="N272" s="23" t="s">
        <v>7</v>
      </c>
      <c r="O272" s="13">
        <f>IF(N272="5",I272,0)</f>
        <v>0</v>
      </c>
      <c r="Z272" s="13">
        <f>IF(AD272=0,J272,0)</f>
        <v>0</v>
      </c>
      <c r="AA272" s="13">
        <f>IF(AD272=15,J272,0)</f>
        <v>0</v>
      </c>
      <c r="AB272" s="13">
        <f>IF(AD272=21,J272,0)</f>
        <v>0</v>
      </c>
      <c r="AD272" s="24">
        <v>21</v>
      </c>
      <c r="AE272" s="24">
        <f>G272*0</f>
        <v>0</v>
      </c>
      <c r="AF272" s="24">
        <f>G272*(1-0)</f>
        <v>0</v>
      </c>
    </row>
    <row r="273" spans="1:37">
      <c r="A273" s="4"/>
      <c r="B273" s="4"/>
      <c r="C273" s="114" t="s">
        <v>531</v>
      </c>
      <c r="D273" s="135" t="s">
        <v>838</v>
      </c>
      <c r="E273" s="136"/>
      <c r="F273" s="136"/>
      <c r="G273" s="155"/>
      <c r="H273" s="26"/>
      <c r="I273" s="26"/>
      <c r="J273" s="26"/>
      <c r="K273" s="19"/>
      <c r="L273" s="26">
        <f>SUM(L274:L276)</f>
        <v>0.207922</v>
      </c>
      <c r="P273" s="26">
        <f>IF(Q273="PR",J273,SUM(O274:O276))</f>
        <v>0</v>
      </c>
      <c r="Q273" s="19" t="s">
        <v>953</v>
      </c>
      <c r="R273" s="26">
        <f>IF(Q273="HS",H273,0)</f>
        <v>0</v>
      </c>
      <c r="S273" s="26">
        <f>IF(Q273="HS",I273-P273,0)</f>
        <v>0</v>
      </c>
      <c r="T273" s="26">
        <f>IF(Q273="PS",H273,0)</f>
        <v>0</v>
      </c>
      <c r="U273" s="26">
        <f>IF(Q273="PS",I273-P273,0)</f>
        <v>0</v>
      </c>
      <c r="V273" s="26">
        <f>IF(Q273="MP",H273,0)</f>
        <v>0</v>
      </c>
      <c r="W273" s="26">
        <f>IF(Q273="MP",I273-P273,0)</f>
        <v>0</v>
      </c>
      <c r="X273" s="26">
        <f>IF(Q273="OM",H273,0)</f>
        <v>0</v>
      </c>
      <c r="Y273" s="19" t="s">
        <v>312</v>
      </c>
      <c r="AI273" s="26">
        <f>SUM(Z274:Z276)</f>
        <v>0</v>
      </c>
      <c r="AJ273" s="26">
        <f>SUM(AA274:AA276)</f>
        <v>0</v>
      </c>
      <c r="AK273" s="26">
        <f>SUM(AB274:AB276)</f>
        <v>0</v>
      </c>
    </row>
    <row r="274" spans="1:37">
      <c r="A274" s="6" t="s">
        <v>234</v>
      </c>
      <c r="B274" s="6" t="s">
        <v>312</v>
      </c>
      <c r="C274" s="6" t="s">
        <v>532</v>
      </c>
      <c r="D274" s="6" t="s">
        <v>839</v>
      </c>
      <c r="E274" s="6" t="s">
        <v>929</v>
      </c>
      <c r="F274" s="13">
        <v>26.5</v>
      </c>
      <c r="G274" s="157"/>
      <c r="H274" s="13"/>
      <c r="I274" s="13"/>
      <c r="J274" s="13">
        <f>ROUND(F274*G274,2)</f>
        <v>0</v>
      </c>
      <c r="K274" s="13">
        <v>7.1700000000000002E-3</v>
      </c>
      <c r="L274" s="13">
        <f>F274*K274</f>
        <v>0.19000500000000001</v>
      </c>
      <c r="N274" s="23" t="s">
        <v>9</v>
      </c>
      <c r="O274" s="13">
        <f>IF(N274="5",I274,0)</f>
        <v>0</v>
      </c>
      <c r="Z274" s="13">
        <f>IF(AD274=0,J274,0)</f>
        <v>0</v>
      </c>
      <c r="AA274" s="13">
        <f>IF(AD274=15,J274,0)</f>
        <v>0</v>
      </c>
      <c r="AB274" s="13">
        <f>IF(AD274=21,J274,0)</f>
        <v>0</v>
      </c>
      <c r="AD274" s="24">
        <v>21</v>
      </c>
      <c r="AE274" s="24">
        <f>G274*0.710415913200723</f>
        <v>0</v>
      </c>
      <c r="AF274" s="24">
        <f>G274*(1-0.710415913200723)</f>
        <v>0</v>
      </c>
    </row>
    <row r="275" spans="1:37">
      <c r="A275" s="6" t="s">
        <v>235</v>
      </c>
      <c r="B275" s="6" t="s">
        <v>312</v>
      </c>
      <c r="C275" s="6" t="s">
        <v>533</v>
      </c>
      <c r="D275" s="6" t="s">
        <v>840</v>
      </c>
      <c r="E275" s="6" t="s">
        <v>929</v>
      </c>
      <c r="F275" s="13">
        <v>2.2999999999999998</v>
      </c>
      <c r="G275" s="157"/>
      <c r="H275" s="13"/>
      <c r="I275" s="13"/>
      <c r="J275" s="13">
        <f>ROUND(F275*G275,2)</f>
        <v>0</v>
      </c>
      <c r="K275" s="13">
        <v>7.79E-3</v>
      </c>
      <c r="L275" s="13">
        <f>F275*K275</f>
        <v>1.7916999999999999E-2</v>
      </c>
      <c r="N275" s="23" t="s">
        <v>9</v>
      </c>
      <c r="O275" s="13">
        <f>IF(N275="5",I275,0)</f>
        <v>0</v>
      </c>
      <c r="Z275" s="13">
        <f>IF(AD275=0,J275,0)</f>
        <v>0</v>
      </c>
      <c r="AA275" s="13">
        <f>IF(AD275=15,J275,0)</f>
        <v>0</v>
      </c>
      <c r="AB275" s="13">
        <f>IF(AD275=21,J275,0)</f>
        <v>0</v>
      </c>
      <c r="AD275" s="24">
        <v>21</v>
      </c>
      <c r="AE275" s="24">
        <f>G275*0.686947797663355</f>
        <v>0</v>
      </c>
      <c r="AF275" s="24">
        <f>G275*(1-0.686947797663355)</f>
        <v>0</v>
      </c>
    </row>
    <row r="276" spans="1:37">
      <c r="A276" s="6" t="s">
        <v>236</v>
      </c>
      <c r="B276" s="6" t="s">
        <v>312</v>
      </c>
      <c r="C276" s="6" t="s">
        <v>534</v>
      </c>
      <c r="D276" s="6" t="s">
        <v>841</v>
      </c>
      <c r="E276" s="6" t="s">
        <v>919</v>
      </c>
      <c r="F276" s="13">
        <v>1</v>
      </c>
      <c r="G276" s="157"/>
      <c r="H276" s="13"/>
      <c r="I276" s="13"/>
      <c r="J276" s="13">
        <f>ROUND(F276*G276,2)</f>
        <v>0</v>
      </c>
      <c r="K276" s="13">
        <v>0</v>
      </c>
      <c r="L276" s="13">
        <f>F276*K276</f>
        <v>0</v>
      </c>
      <c r="N276" s="23" t="s">
        <v>11</v>
      </c>
      <c r="O276" s="13">
        <f>IF(N276="5",I276,0)</f>
        <v>0</v>
      </c>
      <c r="Z276" s="13">
        <f>IF(AD276=0,J276,0)</f>
        <v>0</v>
      </c>
      <c r="AA276" s="13">
        <f>IF(AD276=15,J276,0)</f>
        <v>0</v>
      </c>
      <c r="AB276" s="13">
        <f>IF(AD276=21,J276,0)</f>
        <v>0</v>
      </c>
      <c r="AD276" s="24">
        <v>21</v>
      </c>
      <c r="AE276" s="24">
        <f>G276*0</f>
        <v>0</v>
      </c>
      <c r="AF276" s="24">
        <f>G276*(1-0)</f>
        <v>0</v>
      </c>
    </row>
    <row r="277" spans="1:37">
      <c r="A277" s="4"/>
      <c r="B277" s="4"/>
      <c r="C277" s="114" t="s">
        <v>78</v>
      </c>
      <c r="D277" s="135" t="s">
        <v>842</v>
      </c>
      <c r="E277" s="136"/>
      <c r="F277" s="136"/>
      <c r="G277" s="155"/>
      <c r="H277" s="26"/>
      <c r="I277" s="26"/>
      <c r="J277" s="26"/>
      <c r="K277" s="19"/>
      <c r="L277" s="26">
        <f>SUM(L278:L282)</f>
        <v>9.9199999999999997E-2</v>
      </c>
      <c r="P277" s="26">
        <f>IF(Q277="PR",J277,SUM(O278:O282))</f>
        <v>0</v>
      </c>
      <c r="Q277" s="19" t="s">
        <v>953</v>
      </c>
      <c r="R277" s="26">
        <f>IF(Q277="HS",H277,0)</f>
        <v>0</v>
      </c>
      <c r="S277" s="26">
        <f>IF(Q277="HS",I277-P277,0)</f>
        <v>0</v>
      </c>
      <c r="T277" s="26">
        <f>IF(Q277="PS",H277,0)</f>
        <v>0</v>
      </c>
      <c r="U277" s="26">
        <f>IF(Q277="PS",I277-P277,0)</f>
        <v>0</v>
      </c>
      <c r="V277" s="26">
        <f>IF(Q277="MP",H277,0)</f>
        <v>0</v>
      </c>
      <c r="W277" s="26">
        <f>IF(Q277="MP",I277-P277,0)</f>
        <v>0</v>
      </c>
      <c r="X277" s="26">
        <f>IF(Q277="OM",H277,0)</f>
        <v>0</v>
      </c>
      <c r="Y277" s="19" t="s">
        <v>312</v>
      </c>
      <c r="AI277" s="26">
        <f>SUM(Z278:Z282)</f>
        <v>0</v>
      </c>
      <c r="AJ277" s="26">
        <f>SUM(AA278:AA282)</f>
        <v>0</v>
      </c>
      <c r="AK277" s="26">
        <f>SUM(AB278:AB282)</f>
        <v>0</v>
      </c>
    </row>
    <row r="278" spans="1:37">
      <c r="A278" s="5" t="s">
        <v>237</v>
      </c>
      <c r="B278" s="5" t="s">
        <v>312</v>
      </c>
      <c r="C278" s="5" t="s">
        <v>535</v>
      </c>
      <c r="D278" s="5" t="s">
        <v>843</v>
      </c>
      <c r="E278" s="5" t="s">
        <v>921</v>
      </c>
      <c r="F278" s="12">
        <v>1</v>
      </c>
      <c r="G278" s="156"/>
      <c r="H278" s="12"/>
      <c r="I278" s="12"/>
      <c r="J278" s="12">
        <f>ROUND(F278*G278,2)</f>
        <v>0</v>
      </c>
      <c r="K278" s="12">
        <v>3.0000000000000001E-3</v>
      </c>
      <c r="L278" s="12">
        <f>F278*K278</f>
        <v>3.0000000000000001E-3</v>
      </c>
      <c r="N278" s="22" t="s">
        <v>950</v>
      </c>
      <c r="O278" s="12">
        <f>IF(N278="5",I278,0)</f>
        <v>0</v>
      </c>
      <c r="Z278" s="12">
        <f>IF(AD278=0,J278,0)</f>
        <v>0</v>
      </c>
      <c r="AA278" s="12">
        <f>IF(AD278=15,J278,0)</f>
        <v>0</v>
      </c>
      <c r="AB278" s="12">
        <f>IF(AD278=21,J278,0)</f>
        <v>0</v>
      </c>
      <c r="AD278" s="24">
        <v>21</v>
      </c>
      <c r="AE278" s="24">
        <f>G278*1</f>
        <v>0</v>
      </c>
      <c r="AF278" s="24">
        <f>G278*(1-1)</f>
        <v>0</v>
      </c>
    </row>
    <row r="279" spans="1:37">
      <c r="A279" s="5" t="s">
        <v>238</v>
      </c>
      <c r="B279" s="5" t="s">
        <v>312</v>
      </c>
      <c r="C279" s="5" t="s">
        <v>536</v>
      </c>
      <c r="D279" s="5" t="s">
        <v>844</v>
      </c>
      <c r="E279" s="5" t="s">
        <v>921</v>
      </c>
      <c r="F279" s="12">
        <v>1</v>
      </c>
      <c r="G279" s="156"/>
      <c r="H279" s="12"/>
      <c r="I279" s="12"/>
      <c r="J279" s="12">
        <f>ROUND(F279*G279,2)</f>
        <v>0</v>
      </c>
      <c r="K279" s="12">
        <v>5.1999999999999998E-3</v>
      </c>
      <c r="L279" s="12">
        <f>F279*K279</f>
        <v>5.1999999999999998E-3</v>
      </c>
      <c r="N279" s="22" t="s">
        <v>950</v>
      </c>
      <c r="O279" s="12">
        <f>IF(N279="5",I279,0)</f>
        <v>0</v>
      </c>
      <c r="Z279" s="12">
        <f>IF(AD279=0,J279,0)</f>
        <v>0</v>
      </c>
      <c r="AA279" s="12">
        <f>IF(AD279=15,J279,0)</f>
        <v>0</v>
      </c>
      <c r="AB279" s="12">
        <f>IF(AD279=21,J279,0)</f>
        <v>0</v>
      </c>
      <c r="AD279" s="24">
        <v>21</v>
      </c>
      <c r="AE279" s="24">
        <f>G279*1</f>
        <v>0</v>
      </c>
      <c r="AF279" s="24">
        <f>G279*(1-1)</f>
        <v>0</v>
      </c>
    </row>
    <row r="280" spans="1:37">
      <c r="A280" s="6" t="s">
        <v>239</v>
      </c>
      <c r="B280" s="6" t="s">
        <v>312</v>
      </c>
      <c r="C280" s="6" t="s">
        <v>537</v>
      </c>
      <c r="D280" s="6" t="s">
        <v>845</v>
      </c>
      <c r="E280" s="6" t="s">
        <v>921</v>
      </c>
      <c r="F280" s="13">
        <v>1</v>
      </c>
      <c r="G280" s="157"/>
      <c r="H280" s="13"/>
      <c r="I280" s="13"/>
      <c r="J280" s="13">
        <f>ROUND(F280*G280,2)</f>
        <v>0</v>
      </c>
      <c r="K280" s="13">
        <v>0</v>
      </c>
      <c r="L280" s="13">
        <f>F280*K280</f>
        <v>0</v>
      </c>
      <c r="N280" s="23" t="s">
        <v>7</v>
      </c>
      <c r="O280" s="13">
        <f>IF(N280="5",I280,0)</f>
        <v>0</v>
      </c>
      <c r="Z280" s="13">
        <f>IF(AD280=0,J280,0)</f>
        <v>0</v>
      </c>
      <c r="AA280" s="13">
        <f>IF(AD280=15,J280,0)</f>
        <v>0</v>
      </c>
      <c r="AB280" s="13">
        <f>IF(AD280=21,J280,0)</f>
        <v>0</v>
      </c>
      <c r="AD280" s="24">
        <v>21</v>
      </c>
      <c r="AE280" s="24">
        <f>G280*0</f>
        <v>0</v>
      </c>
      <c r="AF280" s="24">
        <f>G280*(1-0)</f>
        <v>0</v>
      </c>
    </row>
    <row r="281" spans="1:37">
      <c r="A281" s="6" t="s">
        <v>240</v>
      </c>
      <c r="B281" s="6" t="s">
        <v>312</v>
      </c>
      <c r="C281" s="6" t="s">
        <v>538</v>
      </c>
      <c r="D281" s="6" t="s">
        <v>846</v>
      </c>
      <c r="E281" s="6" t="s">
        <v>921</v>
      </c>
      <c r="F281" s="13">
        <v>1</v>
      </c>
      <c r="G281" s="157"/>
      <c r="H281" s="13"/>
      <c r="I281" s="13"/>
      <c r="J281" s="13">
        <f>ROUND(F281*G281,2)</f>
        <v>0</v>
      </c>
      <c r="K281" s="13">
        <v>9.0999999999999998E-2</v>
      </c>
      <c r="L281" s="13">
        <f>F281*K281</f>
        <v>9.0999999999999998E-2</v>
      </c>
      <c r="N281" s="23" t="s">
        <v>7</v>
      </c>
      <c r="O281" s="13">
        <f>IF(N281="5",I281,0)</f>
        <v>0</v>
      </c>
      <c r="Z281" s="13">
        <f>IF(AD281=0,J281,0)</f>
        <v>0</v>
      </c>
      <c r="AA281" s="13">
        <f>IF(AD281=15,J281,0)</f>
        <v>0</v>
      </c>
      <c r="AB281" s="13">
        <f>IF(AD281=21,J281,0)</f>
        <v>0</v>
      </c>
      <c r="AD281" s="24">
        <v>21</v>
      </c>
      <c r="AE281" s="24">
        <f>G281*0</f>
        <v>0</v>
      </c>
      <c r="AF281" s="24">
        <f>G281*(1-0)</f>
        <v>0</v>
      </c>
    </row>
    <row r="282" spans="1:37">
      <c r="A282" s="6" t="s">
        <v>241</v>
      </c>
      <c r="B282" s="6" t="s">
        <v>312</v>
      </c>
      <c r="C282" s="6" t="s">
        <v>377</v>
      </c>
      <c r="D282" s="6" t="s">
        <v>669</v>
      </c>
      <c r="E282" s="6" t="s">
        <v>919</v>
      </c>
      <c r="F282" s="13">
        <v>1</v>
      </c>
      <c r="G282" s="157"/>
      <c r="H282" s="13"/>
      <c r="I282" s="13"/>
      <c r="J282" s="13">
        <f>ROUND(F282*G282,2)</f>
        <v>0</v>
      </c>
      <c r="K282" s="13">
        <v>0</v>
      </c>
      <c r="L282" s="13">
        <f>F282*K282</f>
        <v>0</v>
      </c>
      <c r="N282" s="23" t="s">
        <v>11</v>
      </c>
      <c r="O282" s="13">
        <f>IF(N282="5",I282,0)</f>
        <v>0</v>
      </c>
      <c r="Z282" s="13">
        <f>IF(AD282=0,J282,0)</f>
        <v>0</v>
      </c>
      <c r="AA282" s="13">
        <f>IF(AD282=15,J282,0)</f>
        <v>0</v>
      </c>
      <c r="AB282" s="13">
        <f>IF(AD282=21,J282,0)</f>
        <v>0</v>
      </c>
      <c r="AD282" s="24">
        <v>21</v>
      </c>
      <c r="AE282" s="24">
        <f>G282*0</f>
        <v>0</v>
      </c>
      <c r="AF282" s="24">
        <f>G282*(1-0)</f>
        <v>0</v>
      </c>
    </row>
    <row r="283" spans="1:37">
      <c r="A283" s="4"/>
      <c r="B283" s="4"/>
      <c r="C283" s="114" t="s">
        <v>539</v>
      </c>
      <c r="D283" s="135" t="s">
        <v>847</v>
      </c>
      <c r="E283" s="136"/>
      <c r="F283" s="136"/>
      <c r="G283" s="155"/>
      <c r="H283" s="26"/>
      <c r="I283" s="26"/>
      <c r="J283" s="26"/>
      <c r="K283" s="19"/>
      <c r="L283" s="26">
        <f>SUM(L284:L288)</f>
        <v>0.44872000000000001</v>
      </c>
      <c r="P283" s="26">
        <f>IF(Q283="PR",J283,SUM(O284:O288))</f>
        <v>0</v>
      </c>
      <c r="Q283" s="19" t="s">
        <v>953</v>
      </c>
      <c r="R283" s="26">
        <f>IF(Q283="HS",H283,0)</f>
        <v>0</v>
      </c>
      <c r="S283" s="26">
        <f>IF(Q283="HS",I283-P283,0)</f>
        <v>0</v>
      </c>
      <c r="T283" s="26">
        <f>IF(Q283="PS",H283,0)</f>
        <v>0</v>
      </c>
      <c r="U283" s="26">
        <f>IF(Q283="PS",I283-P283,0)</f>
        <v>0</v>
      </c>
      <c r="V283" s="26">
        <f>IF(Q283="MP",H283,0)</f>
        <v>0</v>
      </c>
      <c r="W283" s="26">
        <f>IF(Q283="MP",I283-P283,0)</f>
        <v>0</v>
      </c>
      <c r="X283" s="26">
        <f>IF(Q283="OM",H283,0)</f>
        <v>0</v>
      </c>
      <c r="Y283" s="19" t="s">
        <v>312</v>
      </c>
      <c r="AI283" s="26">
        <f>SUM(Z284:Z288)</f>
        <v>0</v>
      </c>
      <c r="AJ283" s="26">
        <f>SUM(AA284:AA288)</f>
        <v>0</v>
      </c>
      <c r="AK283" s="26">
        <f>SUM(AB284:AB288)</f>
        <v>0</v>
      </c>
    </row>
    <row r="284" spans="1:37">
      <c r="A284" s="5" t="s">
        <v>242</v>
      </c>
      <c r="B284" s="5" t="s">
        <v>312</v>
      </c>
      <c r="C284" s="5" t="s">
        <v>540</v>
      </c>
      <c r="D284" s="5" t="s">
        <v>848</v>
      </c>
      <c r="E284" s="5" t="s">
        <v>921</v>
      </c>
      <c r="F284" s="12">
        <v>1</v>
      </c>
      <c r="G284" s="156"/>
      <c r="H284" s="12"/>
      <c r="I284" s="12"/>
      <c r="J284" s="12">
        <f>ROUND(F284*G284,2)</f>
        <v>0</v>
      </c>
      <c r="K284" s="12">
        <v>2.0000000000000001E-4</v>
      </c>
      <c r="L284" s="12">
        <f>F284*K284</f>
        <v>2.0000000000000001E-4</v>
      </c>
      <c r="N284" s="22" t="s">
        <v>950</v>
      </c>
      <c r="O284" s="12">
        <f>IF(N284="5",I284,0)</f>
        <v>0</v>
      </c>
      <c r="Z284" s="12">
        <f>IF(AD284=0,J284,0)</f>
        <v>0</v>
      </c>
      <c r="AA284" s="12">
        <f>IF(AD284=15,J284,0)</f>
        <v>0</v>
      </c>
      <c r="AB284" s="12">
        <f>IF(AD284=21,J284,0)</f>
        <v>0</v>
      </c>
      <c r="AD284" s="24">
        <v>21</v>
      </c>
      <c r="AE284" s="24">
        <f>G284*1</f>
        <v>0</v>
      </c>
      <c r="AF284" s="24">
        <f>G284*(1-1)</f>
        <v>0</v>
      </c>
    </row>
    <row r="285" spans="1:37">
      <c r="A285" s="6" t="s">
        <v>243</v>
      </c>
      <c r="B285" s="6" t="s">
        <v>312</v>
      </c>
      <c r="C285" s="6" t="s">
        <v>541</v>
      </c>
      <c r="D285" s="6" t="s">
        <v>849</v>
      </c>
      <c r="E285" s="6" t="s">
        <v>927</v>
      </c>
      <c r="F285" s="13">
        <v>13</v>
      </c>
      <c r="G285" s="157"/>
      <c r="H285" s="13"/>
      <c r="I285" s="13"/>
      <c r="J285" s="13">
        <f>ROUND(F285*G285,2)</f>
        <v>0</v>
      </c>
      <c r="K285" s="13">
        <v>2.0899999999999998E-3</v>
      </c>
      <c r="L285" s="13">
        <f>F285*K285</f>
        <v>2.717E-2</v>
      </c>
      <c r="N285" s="23" t="s">
        <v>7</v>
      </c>
      <c r="O285" s="13">
        <f>IF(N285="5",I285,0)</f>
        <v>0</v>
      </c>
      <c r="Z285" s="13">
        <f>IF(AD285=0,J285,0)</f>
        <v>0</v>
      </c>
      <c r="AA285" s="13">
        <f>IF(AD285=15,J285,0)</f>
        <v>0</v>
      </c>
      <c r="AB285" s="13">
        <f>IF(AD285=21,J285,0)</f>
        <v>0</v>
      </c>
      <c r="AD285" s="24">
        <v>21</v>
      </c>
      <c r="AE285" s="24">
        <f>G285*0.31275204359673</f>
        <v>0</v>
      </c>
      <c r="AF285" s="24">
        <f>G285*(1-0.31275204359673)</f>
        <v>0</v>
      </c>
    </row>
    <row r="286" spans="1:37">
      <c r="A286" s="6" t="s">
        <v>244</v>
      </c>
      <c r="B286" s="6" t="s">
        <v>312</v>
      </c>
      <c r="C286" s="6" t="s">
        <v>542</v>
      </c>
      <c r="D286" s="6" t="s">
        <v>850</v>
      </c>
      <c r="E286" s="6" t="s">
        <v>921</v>
      </c>
      <c r="F286" s="13">
        <v>5</v>
      </c>
      <c r="G286" s="157"/>
      <c r="H286" s="13"/>
      <c r="I286" s="13"/>
      <c r="J286" s="13">
        <f>ROUND(F286*G286,2)</f>
        <v>0</v>
      </c>
      <c r="K286" s="13">
        <v>8.4269999999999998E-2</v>
      </c>
      <c r="L286" s="13">
        <f>F286*K286</f>
        <v>0.42135</v>
      </c>
      <c r="N286" s="23" t="s">
        <v>7</v>
      </c>
      <c r="O286" s="13">
        <f>IF(N286="5",I286,0)</f>
        <v>0</v>
      </c>
      <c r="Z286" s="13">
        <f>IF(AD286=0,J286,0)</f>
        <v>0</v>
      </c>
      <c r="AA286" s="13">
        <f>IF(AD286=15,J286,0)</f>
        <v>0</v>
      </c>
      <c r="AB286" s="13">
        <f>IF(AD286=21,J286,0)</f>
        <v>0</v>
      </c>
      <c r="AD286" s="24">
        <v>21</v>
      </c>
      <c r="AE286" s="24">
        <f>G286*0.959264551427664</f>
        <v>0</v>
      </c>
      <c r="AF286" s="24">
        <f>G286*(1-0.959264551427664)</f>
        <v>0</v>
      </c>
    </row>
    <row r="287" spans="1:37">
      <c r="A287" s="6" t="s">
        <v>245</v>
      </c>
      <c r="B287" s="6" t="s">
        <v>312</v>
      </c>
      <c r="C287" s="6" t="s">
        <v>543</v>
      </c>
      <c r="D287" s="6" t="s">
        <v>851</v>
      </c>
      <c r="E287" s="6" t="s">
        <v>927</v>
      </c>
      <c r="F287" s="13">
        <v>13</v>
      </c>
      <c r="G287" s="157"/>
      <c r="H287" s="13"/>
      <c r="I287" s="13"/>
      <c r="J287" s="13">
        <f>ROUND(F287*G287,2)</f>
        <v>0</v>
      </c>
      <c r="K287" s="13">
        <v>0</v>
      </c>
      <c r="L287" s="13">
        <f>F287*K287</f>
        <v>0</v>
      </c>
      <c r="N287" s="23" t="s">
        <v>7</v>
      </c>
      <c r="O287" s="13">
        <f>IF(N287="5",I287,0)</f>
        <v>0</v>
      </c>
      <c r="Z287" s="13">
        <f>IF(AD287=0,J287,0)</f>
        <v>0</v>
      </c>
      <c r="AA287" s="13">
        <f>IF(AD287=15,J287,0)</f>
        <v>0</v>
      </c>
      <c r="AB287" s="13">
        <f>IF(AD287=21,J287,0)</f>
        <v>0</v>
      </c>
      <c r="AD287" s="24">
        <v>21</v>
      </c>
      <c r="AE287" s="24">
        <f>G287*0.0331210191082803</f>
        <v>0</v>
      </c>
      <c r="AF287" s="24">
        <f>G287*(1-0.0331210191082803)</f>
        <v>0</v>
      </c>
    </row>
    <row r="288" spans="1:37">
      <c r="A288" s="6" t="s">
        <v>246</v>
      </c>
      <c r="B288" s="6" t="s">
        <v>312</v>
      </c>
      <c r="C288" s="6" t="s">
        <v>544</v>
      </c>
      <c r="D288" s="6" t="s">
        <v>852</v>
      </c>
      <c r="E288" s="6" t="s">
        <v>919</v>
      </c>
      <c r="F288" s="13">
        <v>1</v>
      </c>
      <c r="G288" s="157"/>
      <c r="H288" s="13"/>
      <c r="I288" s="13"/>
      <c r="J288" s="13">
        <f>ROUND(F288*G288,2)</f>
        <v>0</v>
      </c>
      <c r="K288" s="13">
        <v>0</v>
      </c>
      <c r="L288" s="13">
        <f>F288*K288</f>
        <v>0</v>
      </c>
      <c r="N288" s="23" t="s">
        <v>11</v>
      </c>
      <c r="O288" s="13">
        <f>IF(N288="5",I288,0)</f>
        <v>0</v>
      </c>
      <c r="Z288" s="13">
        <f>IF(AD288=0,J288,0)</f>
        <v>0</v>
      </c>
      <c r="AA288" s="13">
        <f>IF(AD288=15,J288,0)</f>
        <v>0</v>
      </c>
      <c r="AB288" s="13">
        <f>IF(AD288=21,J288,0)</f>
        <v>0</v>
      </c>
      <c r="AD288" s="24">
        <v>21</v>
      </c>
      <c r="AE288" s="24">
        <f>G288*0</f>
        <v>0</v>
      </c>
      <c r="AF288" s="24">
        <f>G288*(1-0)</f>
        <v>0</v>
      </c>
    </row>
    <row r="289" spans="1:37">
      <c r="A289" s="4"/>
      <c r="B289" s="4"/>
      <c r="C289" s="114" t="s">
        <v>427</v>
      </c>
      <c r="D289" s="135" t="s">
        <v>721</v>
      </c>
      <c r="E289" s="136"/>
      <c r="F289" s="136"/>
      <c r="G289" s="155"/>
      <c r="H289" s="26"/>
      <c r="I289" s="26"/>
      <c r="J289" s="26"/>
      <c r="K289" s="19"/>
      <c r="L289" s="26">
        <f>SUM(L290:L290)</f>
        <v>3.5005599999999998E-2</v>
      </c>
      <c r="P289" s="26">
        <f>IF(Q289="PR",J289,SUM(O290:O290))</f>
        <v>0</v>
      </c>
      <c r="Q289" s="19" t="s">
        <v>953</v>
      </c>
      <c r="R289" s="26">
        <f>IF(Q289="HS",H289,0)</f>
        <v>0</v>
      </c>
      <c r="S289" s="26">
        <f>IF(Q289="HS",I289-P289,0)</f>
        <v>0</v>
      </c>
      <c r="T289" s="26">
        <f>IF(Q289="PS",H289,0)</f>
        <v>0</v>
      </c>
      <c r="U289" s="26">
        <f>IF(Q289="PS",I289-P289,0)</f>
        <v>0</v>
      </c>
      <c r="V289" s="26">
        <f>IF(Q289="MP",H289,0)</f>
        <v>0</v>
      </c>
      <c r="W289" s="26">
        <f>IF(Q289="MP",I289-P289,0)</f>
        <v>0</v>
      </c>
      <c r="X289" s="26">
        <f>IF(Q289="OM",H289,0)</f>
        <v>0</v>
      </c>
      <c r="Y289" s="19" t="s">
        <v>312</v>
      </c>
      <c r="AI289" s="26">
        <f>SUM(Z290:Z290)</f>
        <v>0</v>
      </c>
      <c r="AJ289" s="26">
        <f>SUM(AA290:AA290)</f>
        <v>0</v>
      </c>
      <c r="AK289" s="26">
        <f>SUM(AB290:AB290)</f>
        <v>0</v>
      </c>
    </row>
    <row r="290" spans="1:37">
      <c r="A290" s="6" t="s">
        <v>247</v>
      </c>
      <c r="B290" s="6" t="s">
        <v>312</v>
      </c>
      <c r="C290" s="6" t="s">
        <v>545</v>
      </c>
      <c r="D290" s="6" t="s">
        <v>853</v>
      </c>
      <c r="E290" s="6" t="s">
        <v>927</v>
      </c>
      <c r="F290" s="13">
        <v>6.58</v>
      </c>
      <c r="G290" s="157"/>
      <c r="H290" s="13"/>
      <c r="I290" s="13"/>
      <c r="J290" s="13">
        <f>ROUND(F290*G290,2)</f>
        <v>0</v>
      </c>
      <c r="K290" s="13">
        <v>5.3200000000000001E-3</v>
      </c>
      <c r="L290" s="13">
        <f>F290*K290</f>
        <v>3.5005599999999998E-2</v>
      </c>
      <c r="N290" s="23" t="s">
        <v>7</v>
      </c>
      <c r="O290" s="13">
        <f>IF(N290="5",I290,0)</f>
        <v>0</v>
      </c>
      <c r="Z290" s="13">
        <f>IF(AD290=0,J290,0)</f>
        <v>0</v>
      </c>
      <c r="AA290" s="13">
        <f>IF(AD290=15,J290,0)</f>
        <v>0</v>
      </c>
      <c r="AB290" s="13">
        <f>IF(AD290=21,J290,0)</f>
        <v>0</v>
      </c>
      <c r="AD290" s="24">
        <v>21</v>
      </c>
      <c r="AE290" s="24">
        <f>G290*0.261618798955614</f>
        <v>0</v>
      </c>
      <c r="AF290" s="24">
        <f>G290*(1-0.261618798955614)</f>
        <v>0</v>
      </c>
    </row>
    <row r="291" spans="1:37">
      <c r="A291" s="4"/>
      <c r="B291" s="4"/>
      <c r="C291" s="114" t="s">
        <v>546</v>
      </c>
      <c r="D291" s="135" t="s">
        <v>854</v>
      </c>
      <c r="E291" s="136"/>
      <c r="F291" s="136"/>
      <c r="G291" s="155"/>
      <c r="H291" s="26"/>
      <c r="I291" s="26"/>
      <c r="J291" s="26"/>
      <c r="K291" s="19"/>
      <c r="L291" s="26">
        <f>SUM(L292:L298)</f>
        <v>7.3419999999999999E-2</v>
      </c>
      <c r="P291" s="26">
        <f>IF(Q291="PR",J291,SUM(O292:O298))</f>
        <v>0</v>
      </c>
      <c r="Q291" s="19" t="s">
        <v>953</v>
      </c>
      <c r="R291" s="26">
        <f>IF(Q291="HS",H291,0)</f>
        <v>0</v>
      </c>
      <c r="S291" s="26">
        <f>IF(Q291="HS",I291-P291,0)</f>
        <v>0</v>
      </c>
      <c r="T291" s="26">
        <f>IF(Q291="PS",H291,0)</f>
        <v>0</v>
      </c>
      <c r="U291" s="26">
        <f>IF(Q291="PS",I291-P291,0)</f>
        <v>0</v>
      </c>
      <c r="V291" s="26">
        <f>IF(Q291="MP",H291,0)</f>
        <v>0</v>
      </c>
      <c r="W291" s="26">
        <f>IF(Q291="MP",I291-P291,0)</f>
        <v>0</v>
      </c>
      <c r="X291" s="26">
        <f>IF(Q291="OM",H291,0)</f>
        <v>0</v>
      </c>
      <c r="Y291" s="19" t="s">
        <v>312</v>
      </c>
      <c r="AI291" s="26">
        <f>SUM(Z292:Z298)</f>
        <v>0</v>
      </c>
      <c r="AJ291" s="26">
        <f>SUM(AA292:AA298)</f>
        <v>0</v>
      </c>
      <c r="AK291" s="26">
        <f>SUM(AB292:AB298)</f>
        <v>0</v>
      </c>
    </row>
    <row r="292" spans="1:37">
      <c r="A292" s="5" t="s">
        <v>248</v>
      </c>
      <c r="B292" s="5" t="s">
        <v>312</v>
      </c>
      <c r="C292" s="5" t="s">
        <v>547</v>
      </c>
      <c r="D292" s="5" t="s">
        <v>855</v>
      </c>
      <c r="E292" s="5" t="s">
        <v>921</v>
      </c>
      <c r="F292" s="12">
        <v>1</v>
      </c>
      <c r="G292" s="156"/>
      <c r="H292" s="12"/>
      <c r="I292" s="12"/>
      <c r="J292" s="12">
        <f t="shared" ref="J292:J298" si="104">ROUND(F292*G292,2)</f>
        <v>0</v>
      </c>
      <c r="K292" s="12">
        <v>7.5000000000000002E-4</v>
      </c>
      <c r="L292" s="12">
        <f t="shared" ref="L292:L298" si="105">F292*K292</f>
        <v>7.5000000000000002E-4</v>
      </c>
      <c r="N292" s="22" t="s">
        <v>950</v>
      </c>
      <c r="O292" s="12">
        <f t="shared" ref="O292:O298" si="106">IF(N292="5",I292,0)</f>
        <v>0</v>
      </c>
      <c r="Z292" s="12">
        <f t="shared" ref="Z292:Z298" si="107">IF(AD292=0,J292,0)</f>
        <v>0</v>
      </c>
      <c r="AA292" s="12">
        <f t="shared" ref="AA292:AA298" si="108">IF(AD292=15,J292,0)</f>
        <v>0</v>
      </c>
      <c r="AB292" s="12">
        <f t="shared" ref="AB292:AB298" si="109">IF(AD292=21,J292,0)</f>
        <v>0</v>
      </c>
      <c r="AD292" s="24">
        <v>21</v>
      </c>
      <c r="AE292" s="24">
        <f>G292*1</f>
        <v>0</v>
      </c>
      <c r="AF292" s="24">
        <f>G292*(1-1)</f>
        <v>0</v>
      </c>
    </row>
    <row r="293" spans="1:37">
      <c r="A293" s="5" t="s">
        <v>249</v>
      </c>
      <c r="B293" s="5" t="s">
        <v>312</v>
      </c>
      <c r="C293" s="5" t="s">
        <v>548</v>
      </c>
      <c r="D293" s="5" t="s">
        <v>856</v>
      </c>
      <c r="E293" s="5" t="s">
        <v>921</v>
      </c>
      <c r="F293" s="12">
        <v>1</v>
      </c>
      <c r="G293" s="156"/>
      <c r="H293" s="12"/>
      <c r="I293" s="12"/>
      <c r="J293" s="12">
        <f t="shared" si="104"/>
        <v>0</v>
      </c>
      <c r="K293" s="12">
        <v>5.5799999999999999E-3</v>
      </c>
      <c r="L293" s="12">
        <f t="shared" si="105"/>
        <v>5.5799999999999999E-3</v>
      </c>
      <c r="N293" s="22" t="s">
        <v>950</v>
      </c>
      <c r="O293" s="12">
        <f t="shared" si="106"/>
        <v>0</v>
      </c>
      <c r="Z293" s="12">
        <f t="shared" si="107"/>
        <v>0</v>
      </c>
      <c r="AA293" s="12">
        <f t="shared" si="108"/>
        <v>0</v>
      </c>
      <c r="AB293" s="12">
        <f t="shared" si="109"/>
        <v>0</v>
      </c>
      <c r="AD293" s="24">
        <v>21</v>
      </c>
      <c r="AE293" s="24">
        <f>G293*1</f>
        <v>0</v>
      </c>
      <c r="AF293" s="24">
        <f>G293*(1-1)</f>
        <v>0</v>
      </c>
    </row>
    <row r="294" spans="1:37">
      <c r="A294" s="5" t="s">
        <v>250</v>
      </c>
      <c r="B294" s="5" t="s">
        <v>312</v>
      </c>
      <c r="C294" s="5" t="s">
        <v>549</v>
      </c>
      <c r="D294" s="5" t="s">
        <v>857</v>
      </c>
      <c r="E294" s="5" t="s">
        <v>921</v>
      </c>
      <c r="F294" s="12">
        <v>1</v>
      </c>
      <c r="G294" s="156"/>
      <c r="H294" s="12"/>
      <c r="I294" s="12"/>
      <c r="J294" s="12">
        <f t="shared" si="104"/>
        <v>0</v>
      </c>
      <c r="K294" s="12">
        <v>2.9E-4</v>
      </c>
      <c r="L294" s="12">
        <f t="shared" si="105"/>
        <v>2.9E-4</v>
      </c>
      <c r="N294" s="22" t="s">
        <v>950</v>
      </c>
      <c r="O294" s="12">
        <f t="shared" si="106"/>
        <v>0</v>
      </c>
      <c r="Z294" s="12">
        <f t="shared" si="107"/>
        <v>0</v>
      </c>
      <c r="AA294" s="12">
        <f t="shared" si="108"/>
        <v>0</v>
      </c>
      <c r="AB294" s="12">
        <f t="shared" si="109"/>
        <v>0</v>
      </c>
      <c r="AD294" s="24">
        <v>21</v>
      </c>
      <c r="AE294" s="24">
        <f>G294*1</f>
        <v>0</v>
      </c>
      <c r="AF294" s="24">
        <f>G294*(1-1)</f>
        <v>0</v>
      </c>
    </row>
    <row r="295" spans="1:37">
      <c r="A295" s="6" t="s">
        <v>251</v>
      </c>
      <c r="B295" s="6" t="s">
        <v>312</v>
      </c>
      <c r="C295" s="6" t="s">
        <v>550</v>
      </c>
      <c r="D295" s="6" t="s">
        <v>858</v>
      </c>
      <c r="E295" s="6" t="s">
        <v>921</v>
      </c>
      <c r="F295" s="13">
        <v>1</v>
      </c>
      <c r="G295" s="157"/>
      <c r="H295" s="13"/>
      <c r="I295" s="13"/>
      <c r="J295" s="13">
        <f t="shared" si="104"/>
        <v>0</v>
      </c>
      <c r="K295" s="13">
        <v>2.5000000000000001E-2</v>
      </c>
      <c r="L295" s="13">
        <f t="shared" si="105"/>
        <v>2.5000000000000001E-2</v>
      </c>
      <c r="N295" s="23" t="s">
        <v>9</v>
      </c>
      <c r="O295" s="13">
        <f t="shared" si="106"/>
        <v>0</v>
      </c>
      <c r="Z295" s="13">
        <f t="shared" si="107"/>
        <v>0</v>
      </c>
      <c r="AA295" s="13">
        <f t="shared" si="108"/>
        <v>0</v>
      </c>
      <c r="AB295" s="13">
        <f t="shared" si="109"/>
        <v>0</v>
      </c>
      <c r="AD295" s="24">
        <v>21</v>
      </c>
      <c r="AE295" s="24">
        <f>G295*0.918672727272727</f>
        <v>0</v>
      </c>
      <c r="AF295" s="24">
        <f>G295*(1-0.918672727272727)</f>
        <v>0</v>
      </c>
    </row>
    <row r="296" spans="1:37">
      <c r="A296" s="6" t="s">
        <v>252</v>
      </c>
      <c r="B296" s="6" t="s">
        <v>312</v>
      </c>
      <c r="C296" s="6" t="s">
        <v>551</v>
      </c>
      <c r="D296" s="6" t="s">
        <v>859</v>
      </c>
      <c r="E296" s="6" t="s">
        <v>921</v>
      </c>
      <c r="F296" s="13">
        <v>1</v>
      </c>
      <c r="G296" s="157"/>
      <c r="H296" s="13"/>
      <c r="I296" s="13"/>
      <c r="J296" s="13">
        <f t="shared" si="104"/>
        <v>0</v>
      </c>
      <c r="K296" s="13">
        <v>0</v>
      </c>
      <c r="L296" s="13">
        <f t="shared" si="105"/>
        <v>0</v>
      </c>
      <c r="N296" s="23" t="s">
        <v>7</v>
      </c>
      <c r="O296" s="13">
        <f t="shared" si="106"/>
        <v>0</v>
      </c>
      <c r="Z296" s="13">
        <f t="shared" si="107"/>
        <v>0</v>
      </c>
      <c r="AA296" s="13">
        <f t="shared" si="108"/>
        <v>0</v>
      </c>
      <c r="AB296" s="13">
        <f t="shared" si="109"/>
        <v>0</v>
      </c>
      <c r="AD296" s="24">
        <v>21</v>
      </c>
      <c r="AE296" s="24">
        <f>G296*0</f>
        <v>0</v>
      </c>
      <c r="AF296" s="24">
        <f>G296*(1-0)</f>
        <v>0</v>
      </c>
    </row>
    <row r="297" spans="1:37">
      <c r="A297" s="6" t="s">
        <v>253</v>
      </c>
      <c r="B297" s="6" t="s">
        <v>312</v>
      </c>
      <c r="C297" s="6" t="s">
        <v>552</v>
      </c>
      <c r="D297" s="6" t="s">
        <v>860</v>
      </c>
      <c r="E297" s="6" t="s">
        <v>921</v>
      </c>
      <c r="F297" s="13">
        <v>2</v>
      </c>
      <c r="G297" s="157"/>
      <c r="H297" s="13"/>
      <c r="I297" s="13"/>
      <c r="J297" s="13">
        <f t="shared" si="104"/>
        <v>0</v>
      </c>
      <c r="K297" s="13">
        <v>2.0899999999999998E-2</v>
      </c>
      <c r="L297" s="13">
        <f t="shared" si="105"/>
        <v>4.1799999999999997E-2</v>
      </c>
      <c r="N297" s="23" t="s">
        <v>9</v>
      </c>
      <c r="O297" s="13">
        <f t="shared" si="106"/>
        <v>0</v>
      </c>
      <c r="Z297" s="13">
        <f t="shared" si="107"/>
        <v>0</v>
      </c>
      <c r="AA297" s="13">
        <f t="shared" si="108"/>
        <v>0</v>
      </c>
      <c r="AB297" s="13">
        <f t="shared" si="109"/>
        <v>0</v>
      </c>
      <c r="AD297" s="24">
        <v>21</v>
      </c>
      <c r="AE297" s="24">
        <f>G297*0.80885689860793</f>
        <v>0</v>
      </c>
      <c r="AF297" s="24">
        <f>G297*(1-0.80885689860793)</f>
        <v>0</v>
      </c>
    </row>
    <row r="298" spans="1:37">
      <c r="A298" s="6" t="s">
        <v>254</v>
      </c>
      <c r="B298" s="6" t="s">
        <v>312</v>
      </c>
      <c r="C298" s="6" t="s">
        <v>553</v>
      </c>
      <c r="D298" s="6" t="s">
        <v>861</v>
      </c>
      <c r="E298" s="6" t="s">
        <v>919</v>
      </c>
      <c r="F298" s="13">
        <v>1</v>
      </c>
      <c r="G298" s="157"/>
      <c r="H298" s="13"/>
      <c r="I298" s="13"/>
      <c r="J298" s="13">
        <f t="shared" si="104"/>
        <v>0</v>
      </c>
      <c r="K298" s="13">
        <v>0</v>
      </c>
      <c r="L298" s="13">
        <f t="shared" si="105"/>
        <v>0</v>
      </c>
      <c r="N298" s="23" t="s">
        <v>11</v>
      </c>
      <c r="O298" s="13">
        <f t="shared" si="106"/>
        <v>0</v>
      </c>
      <c r="Z298" s="13">
        <f t="shared" si="107"/>
        <v>0</v>
      </c>
      <c r="AA298" s="13">
        <f t="shared" si="108"/>
        <v>0</v>
      </c>
      <c r="AB298" s="13">
        <f t="shared" si="109"/>
        <v>0</v>
      </c>
      <c r="AD298" s="24">
        <v>21</v>
      </c>
      <c r="AE298" s="24">
        <f>G298*0</f>
        <v>0</v>
      </c>
      <c r="AF298" s="24">
        <f>G298*(1-0)</f>
        <v>0</v>
      </c>
    </row>
    <row r="299" spans="1:37">
      <c r="A299" s="4"/>
      <c r="B299" s="4"/>
      <c r="C299" s="114" t="s">
        <v>453</v>
      </c>
      <c r="D299" s="135" t="s">
        <v>748</v>
      </c>
      <c r="E299" s="136"/>
      <c r="F299" s="136"/>
      <c r="G299" s="155"/>
      <c r="H299" s="26"/>
      <c r="I299" s="26"/>
      <c r="J299" s="26"/>
      <c r="K299" s="19"/>
      <c r="L299" s="26">
        <f>SUM(L300:L303)</f>
        <v>6.5500000000000003E-2</v>
      </c>
      <c r="P299" s="26">
        <f>IF(Q299="PR",J299,SUM(O300:O303))</f>
        <v>0</v>
      </c>
      <c r="Q299" s="19" t="s">
        <v>953</v>
      </c>
      <c r="R299" s="26">
        <f>IF(Q299="HS",H299,0)</f>
        <v>0</v>
      </c>
      <c r="S299" s="26">
        <f>IF(Q299="HS",I299-P299,0)</f>
        <v>0</v>
      </c>
      <c r="T299" s="26">
        <f>IF(Q299="PS",H299,0)</f>
        <v>0</v>
      </c>
      <c r="U299" s="26">
        <f>IF(Q299="PS",I299-P299,0)</f>
        <v>0</v>
      </c>
      <c r="V299" s="26">
        <f>IF(Q299="MP",H299,0)</f>
        <v>0</v>
      </c>
      <c r="W299" s="26">
        <f>IF(Q299="MP",I299-P299,0)</f>
        <v>0</v>
      </c>
      <c r="X299" s="26">
        <f>IF(Q299="OM",H299,0)</f>
        <v>0</v>
      </c>
      <c r="Y299" s="19" t="s">
        <v>312</v>
      </c>
      <c r="AI299" s="26">
        <f>SUM(Z300:Z303)</f>
        <v>0</v>
      </c>
      <c r="AJ299" s="26">
        <f>SUM(AA300:AA303)</f>
        <v>0</v>
      </c>
      <c r="AK299" s="26">
        <f>SUM(AB300:AB303)</f>
        <v>0</v>
      </c>
    </row>
    <row r="300" spans="1:37">
      <c r="A300" s="5" t="s">
        <v>255</v>
      </c>
      <c r="B300" s="5" t="s">
        <v>312</v>
      </c>
      <c r="C300" s="5" t="s">
        <v>554</v>
      </c>
      <c r="D300" s="5" t="s">
        <v>862</v>
      </c>
      <c r="E300" s="5" t="s">
        <v>928</v>
      </c>
      <c r="F300" s="12">
        <v>35.200000000000003</v>
      </c>
      <c r="G300" s="156"/>
      <c r="H300" s="12"/>
      <c r="I300" s="12"/>
      <c r="J300" s="12">
        <f>ROUND(F300*G300,2)</f>
        <v>0</v>
      </c>
      <c r="K300" s="12">
        <v>1E-3</v>
      </c>
      <c r="L300" s="12">
        <f>F300*K300</f>
        <v>3.5200000000000002E-2</v>
      </c>
      <c r="N300" s="22" t="s">
        <v>950</v>
      </c>
      <c r="O300" s="12">
        <f>IF(N300="5",I300,0)</f>
        <v>0</v>
      </c>
      <c r="Z300" s="12">
        <f>IF(AD300=0,J300,0)</f>
        <v>0</v>
      </c>
      <c r="AA300" s="12">
        <f>IF(AD300=15,J300,0)</f>
        <v>0</v>
      </c>
      <c r="AB300" s="12">
        <f>IF(AD300=21,J300,0)</f>
        <v>0</v>
      </c>
      <c r="AD300" s="24">
        <v>21</v>
      </c>
      <c r="AE300" s="24">
        <f>G300*1</f>
        <v>0</v>
      </c>
      <c r="AF300" s="24">
        <f>G300*(1-1)</f>
        <v>0</v>
      </c>
    </row>
    <row r="301" spans="1:37">
      <c r="A301" s="6" t="s">
        <v>256</v>
      </c>
      <c r="B301" s="6" t="s">
        <v>312</v>
      </c>
      <c r="C301" s="6" t="s">
        <v>555</v>
      </c>
      <c r="D301" s="6" t="s">
        <v>863</v>
      </c>
      <c r="E301" s="6" t="s">
        <v>927</v>
      </c>
      <c r="F301" s="13">
        <v>9</v>
      </c>
      <c r="G301" s="157"/>
      <c r="H301" s="13"/>
      <c r="I301" s="13"/>
      <c r="J301" s="13">
        <f>ROUND(F301*G301,2)</f>
        <v>0</v>
      </c>
      <c r="K301" s="13">
        <v>0</v>
      </c>
      <c r="L301" s="13">
        <f>F301*K301</f>
        <v>0</v>
      </c>
      <c r="N301" s="23" t="s">
        <v>7</v>
      </c>
      <c r="O301" s="13">
        <f>IF(N301="5",I301,0)</f>
        <v>0</v>
      </c>
      <c r="Z301" s="13">
        <f>IF(AD301=0,J301,0)</f>
        <v>0</v>
      </c>
      <c r="AA301" s="13">
        <f>IF(AD301=15,J301,0)</f>
        <v>0</v>
      </c>
      <c r="AB301" s="13">
        <f>IF(AD301=21,J301,0)</f>
        <v>0</v>
      </c>
      <c r="AD301" s="24">
        <v>21</v>
      </c>
      <c r="AE301" s="24">
        <f>G301*0</f>
        <v>0</v>
      </c>
      <c r="AF301" s="24">
        <f>G301*(1-0)</f>
        <v>0</v>
      </c>
    </row>
    <row r="302" spans="1:37">
      <c r="A302" s="6" t="s">
        <v>257</v>
      </c>
      <c r="B302" s="6" t="s">
        <v>312</v>
      </c>
      <c r="C302" s="6" t="s">
        <v>556</v>
      </c>
      <c r="D302" s="6" t="s">
        <v>864</v>
      </c>
      <c r="E302" s="6" t="s">
        <v>928</v>
      </c>
      <c r="F302" s="13">
        <v>30.3</v>
      </c>
      <c r="G302" s="157"/>
      <c r="H302" s="13"/>
      <c r="I302" s="13"/>
      <c r="J302" s="13">
        <f>ROUND(F302*G302,2)</f>
        <v>0</v>
      </c>
      <c r="K302" s="13">
        <v>1E-3</v>
      </c>
      <c r="L302" s="13">
        <f>F302*K302</f>
        <v>3.0300000000000001E-2</v>
      </c>
      <c r="N302" s="23" t="s">
        <v>7</v>
      </c>
      <c r="O302" s="13">
        <f>IF(N302="5",I302,0)</f>
        <v>0</v>
      </c>
      <c r="Z302" s="13">
        <f>IF(AD302=0,J302,0)</f>
        <v>0</v>
      </c>
      <c r="AA302" s="13">
        <f>IF(AD302=15,J302,0)</f>
        <v>0</v>
      </c>
      <c r="AB302" s="13">
        <f>IF(AD302=21,J302,0)</f>
        <v>0</v>
      </c>
      <c r="AD302" s="24">
        <v>21</v>
      </c>
      <c r="AE302" s="24">
        <f>G302*0.155695165255395</f>
        <v>0</v>
      </c>
      <c r="AF302" s="24">
        <f>G302*(1-0.155695165255395)</f>
        <v>0</v>
      </c>
    </row>
    <row r="303" spans="1:37">
      <c r="A303" s="6" t="s">
        <v>258</v>
      </c>
      <c r="B303" s="6" t="s">
        <v>312</v>
      </c>
      <c r="C303" s="6" t="s">
        <v>465</v>
      </c>
      <c r="D303" s="6" t="s">
        <v>760</v>
      </c>
      <c r="E303" s="6" t="s">
        <v>919</v>
      </c>
      <c r="F303" s="13">
        <v>1</v>
      </c>
      <c r="G303" s="157"/>
      <c r="H303" s="13"/>
      <c r="I303" s="13"/>
      <c r="J303" s="13">
        <f>ROUND(F303*G303,2)</f>
        <v>0</v>
      </c>
      <c r="K303" s="13">
        <v>0</v>
      </c>
      <c r="L303" s="13">
        <f>F303*K303</f>
        <v>0</v>
      </c>
      <c r="N303" s="23" t="s">
        <v>11</v>
      </c>
      <c r="O303" s="13">
        <f>IF(N303="5",I303,0)</f>
        <v>0</v>
      </c>
      <c r="Z303" s="13">
        <f>IF(AD303=0,J303,0)</f>
        <v>0</v>
      </c>
      <c r="AA303" s="13">
        <f>IF(AD303=15,J303,0)</f>
        <v>0</v>
      </c>
      <c r="AB303" s="13">
        <f>IF(AD303=21,J303,0)</f>
        <v>0</v>
      </c>
      <c r="AD303" s="24">
        <v>21</v>
      </c>
      <c r="AE303" s="24">
        <f>G303*0</f>
        <v>0</v>
      </c>
      <c r="AF303" s="24">
        <f>G303*(1-0)</f>
        <v>0</v>
      </c>
    </row>
    <row r="304" spans="1:37">
      <c r="A304" s="4"/>
      <c r="B304" s="4"/>
      <c r="C304" s="114" t="s">
        <v>557</v>
      </c>
      <c r="D304" s="135" t="s">
        <v>865</v>
      </c>
      <c r="E304" s="136"/>
      <c r="F304" s="136"/>
      <c r="G304" s="155"/>
      <c r="H304" s="26"/>
      <c r="I304" s="26"/>
      <c r="J304" s="26"/>
      <c r="K304" s="19"/>
      <c r="L304" s="26">
        <f>SUM(L305:L311)</f>
        <v>0.78641039999999995</v>
      </c>
      <c r="P304" s="26">
        <f>IF(Q304="PR",J304,SUM(O305:O311))</f>
        <v>0</v>
      </c>
      <c r="Q304" s="19" t="s">
        <v>953</v>
      </c>
      <c r="R304" s="26">
        <f>IF(Q304="HS",H304,0)</f>
        <v>0</v>
      </c>
      <c r="S304" s="26">
        <f>IF(Q304="HS",I304-P304,0)</f>
        <v>0</v>
      </c>
      <c r="T304" s="26">
        <f>IF(Q304="PS",H304,0)</f>
        <v>0</v>
      </c>
      <c r="U304" s="26">
        <f>IF(Q304="PS",I304-P304,0)</f>
        <v>0</v>
      </c>
      <c r="V304" s="26">
        <f>IF(Q304="MP",H304,0)</f>
        <v>0</v>
      </c>
      <c r="W304" s="26">
        <f>IF(Q304="MP",I304-P304,0)</f>
        <v>0</v>
      </c>
      <c r="X304" s="26">
        <f>IF(Q304="OM",H304,0)</f>
        <v>0</v>
      </c>
      <c r="Y304" s="19" t="s">
        <v>312</v>
      </c>
      <c r="AI304" s="26">
        <f>SUM(Z305:Z311)</f>
        <v>0</v>
      </c>
      <c r="AJ304" s="26">
        <f>SUM(AA305:AA311)</f>
        <v>0</v>
      </c>
      <c r="AK304" s="26">
        <f>SUM(AB305:AB311)</f>
        <v>0</v>
      </c>
    </row>
    <row r="305" spans="1:37">
      <c r="A305" s="5" t="s">
        <v>259</v>
      </c>
      <c r="B305" s="5" t="s">
        <v>312</v>
      </c>
      <c r="C305" s="5" t="s">
        <v>558</v>
      </c>
      <c r="D305" s="5" t="s">
        <v>866</v>
      </c>
      <c r="E305" s="5" t="s">
        <v>929</v>
      </c>
      <c r="F305" s="12">
        <v>3.3</v>
      </c>
      <c r="G305" s="156"/>
      <c r="H305" s="12"/>
      <c r="I305" s="12"/>
      <c r="J305" s="12">
        <f t="shared" ref="J305:J311" si="110">ROUND(F305*G305,2)</f>
        <v>0</v>
      </c>
      <c r="K305" s="12">
        <v>1.9E-2</v>
      </c>
      <c r="L305" s="12">
        <f t="shared" ref="L305:L311" si="111">F305*K305</f>
        <v>6.2699999999999992E-2</v>
      </c>
      <c r="N305" s="22" t="s">
        <v>950</v>
      </c>
      <c r="O305" s="12">
        <f t="shared" ref="O305:O311" si="112">IF(N305="5",I305,0)</f>
        <v>0</v>
      </c>
      <c r="Z305" s="12">
        <f t="shared" ref="Z305:Z311" si="113">IF(AD305=0,J305,0)</f>
        <v>0</v>
      </c>
      <c r="AA305" s="12">
        <f t="shared" ref="AA305:AA311" si="114">IF(AD305=15,J305,0)</f>
        <v>0</v>
      </c>
      <c r="AB305" s="12">
        <f t="shared" ref="AB305:AB311" si="115">IF(AD305=21,J305,0)</f>
        <v>0</v>
      </c>
      <c r="AD305" s="24">
        <v>21</v>
      </c>
      <c r="AE305" s="24">
        <f>G305*1</f>
        <v>0</v>
      </c>
      <c r="AF305" s="24">
        <f>G305*(1-1)</f>
        <v>0</v>
      </c>
    </row>
    <row r="306" spans="1:37">
      <c r="A306" s="5" t="s">
        <v>260</v>
      </c>
      <c r="B306" s="5" t="s">
        <v>312</v>
      </c>
      <c r="C306" s="5" t="s">
        <v>559</v>
      </c>
      <c r="D306" s="5" t="s">
        <v>867</v>
      </c>
      <c r="E306" s="5" t="s">
        <v>929</v>
      </c>
      <c r="F306" s="12">
        <v>31.35</v>
      </c>
      <c r="G306" s="156"/>
      <c r="H306" s="12"/>
      <c r="I306" s="12"/>
      <c r="J306" s="12">
        <f t="shared" si="110"/>
        <v>0</v>
      </c>
      <c r="K306" s="12">
        <v>1.9199999999999998E-2</v>
      </c>
      <c r="L306" s="12">
        <f t="shared" si="111"/>
        <v>0.60192000000000001</v>
      </c>
      <c r="N306" s="22" t="s">
        <v>950</v>
      </c>
      <c r="O306" s="12">
        <f t="shared" si="112"/>
        <v>0</v>
      </c>
      <c r="Z306" s="12">
        <f t="shared" si="113"/>
        <v>0</v>
      </c>
      <c r="AA306" s="12">
        <f t="shared" si="114"/>
        <v>0</v>
      </c>
      <c r="AB306" s="12">
        <f t="shared" si="115"/>
        <v>0</v>
      </c>
      <c r="AD306" s="24">
        <v>21</v>
      </c>
      <c r="AE306" s="24">
        <f>G306*1</f>
        <v>0</v>
      </c>
      <c r="AF306" s="24">
        <f>G306*(1-1)</f>
        <v>0</v>
      </c>
    </row>
    <row r="307" spans="1:37">
      <c r="A307" s="6" t="s">
        <v>261</v>
      </c>
      <c r="B307" s="6" t="s">
        <v>312</v>
      </c>
      <c r="C307" s="6" t="s">
        <v>560</v>
      </c>
      <c r="D307" s="6" t="s">
        <v>868</v>
      </c>
      <c r="E307" s="6" t="s">
        <v>927</v>
      </c>
      <c r="F307" s="13">
        <v>4.8</v>
      </c>
      <c r="G307" s="157"/>
      <c r="H307" s="13"/>
      <c r="I307" s="13"/>
      <c r="J307" s="13">
        <f t="shared" si="110"/>
        <v>0</v>
      </c>
      <c r="K307" s="13">
        <v>0</v>
      </c>
      <c r="L307" s="13">
        <f t="shared" si="111"/>
        <v>0</v>
      </c>
      <c r="N307" s="23" t="s">
        <v>7</v>
      </c>
      <c r="O307" s="13">
        <f t="shared" si="112"/>
        <v>0</v>
      </c>
      <c r="Z307" s="13">
        <f t="shared" si="113"/>
        <v>0</v>
      </c>
      <c r="AA307" s="13">
        <f t="shared" si="114"/>
        <v>0</v>
      </c>
      <c r="AB307" s="13">
        <f t="shared" si="115"/>
        <v>0</v>
      </c>
      <c r="AD307" s="24">
        <v>21</v>
      </c>
      <c r="AE307" s="24">
        <f>G307*0</f>
        <v>0</v>
      </c>
      <c r="AF307" s="24">
        <f>G307*(1-0)</f>
        <v>0</v>
      </c>
    </row>
    <row r="308" spans="1:37">
      <c r="A308" s="6" t="s">
        <v>262</v>
      </c>
      <c r="B308" s="6" t="s">
        <v>312</v>
      </c>
      <c r="C308" s="6" t="s">
        <v>561</v>
      </c>
      <c r="D308" s="6" t="s">
        <v>869</v>
      </c>
      <c r="E308" s="6" t="s">
        <v>929</v>
      </c>
      <c r="F308" s="13">
        <v>1.44</v>
      </c>
      <c r="G308" s="157"/>
      <c r="H308" s="13"/>
      <c r="I308" s="13"/>
      <c r="J308" s="13">
        <f t="shared" si="110"/>
        <v>0</v>
      </c>
      <c r="K308" s="13">
        <v>4.4099999999999999E-3</v>
      </c>
      <c r="L308" s="13">
        <f t="shared" si="111"/>
        <v>6.3504E-3</v>
      </c>
      <c r="N308" s="23" t="s">
        <v>7</v>
      </c>
      <c r="O308" s="13">
        <f t="shared" si="112"/>
        <v>0</v>
      </c>
      <c r="Z308" s="13">
        <f t="shared" si="113"/>
        <v>0</v>
      </c>
      <c r="AA308" s="13">
        <f t="shared" si="114"/>
        <v>0</v>
      </c>
      <c r="AB308" s="13">
        <f t="shared" si="115"/>
        <v>0</v>
      </c>
      <c r="AD308" s="24">
        <v>21</v>
      </c>
      <c r="AE308" s="24">
        <f>G308*0.243563636363636</f>
        <v>0</v>
      </c>
      <c r="AF308" s="24">
        <f>G308*(1-0.243563636363636)</f>
        <v>0</v>
      </c>
    </row>
    <row r="309" spans="1:37">
      <c r="A309" s="6" t="s">
        <v>263</v>
      </c>
      <c r="B309" s="6" t="s">
        <v>312</v>
      </c>
      <c r="C309" s="6" t="s">
        <v>562</v>
      </c>
      <c r="D309" s="6" t="s">
        <v>870</v>
      </c>
      <c r="E309" s="6" t="s">
        <v>927</v>
      </c>
      <c r="F309" s="13">
        <v>33</v>
      </c>
      <c r="G309" s="157"/>
      <c r="H309" s="13"/>
      <c r="I309" s="13"/>
      <c r="J309" s="13">
        <f t="shared" si="110"/>
        <v>0</v>
      </c>
      <c r="K309" s="13">
        <v>4.4000000000000002E-4</v>
      </c>
      <c r="L309" s="13">
        <f t="shared" si="111"/>
        <v>1.452E-2</v>
      </c>
      <c r="N309" s="23" t="s">
        <v>7</v>
      </c>
      <c r="O309" s="13">
        <f t="shared" si="112"/>
        <v>0</v>
      </c>
      <c r="Z309" s="13">
        <f t="shared" si="113"/>
        <v>0</v>
      </c>
      <c r="AA309" s="13">
        <f t="shared" si="114"/>
        <v>0</v>
      </c>
      <c r="AB309" s="13">
        <f t="shared" si="115"/>
        <v>0</v>
      </c>
      <c r="AD309" s="24">
        <v>21</v>
      </c>
      <c r="AE309" s="24">
        <f>G309*0.13192118226601</f>
        <v>0</v>
      </c>
      <c r="AF309" s="24">
        <f>G309*(1-0.13192118226601)</f>
        <v>0</v>
      </c>
    </row>
    <row r="310" spans="1:37">
      <c r="A310" s="6" t="s">
        <v>264</v>
      </c>
      <c r="B310" s="6" t="s">
        <v>312</v>
      </c>
      <c r="C310" s="6" t="s">
        <v>563</v>
      </c>
      <c r="D310" s="6" t="s">
        <v>871</v>
      </c>
      <c r="E310" s="6" t="s">
        <v>929</v>
      </c>
      <c r="F310" s="13">
        <v>29</v>
      </c>
      <c r="G310" s="157"/>
      <c r="H310" s="13"/>
      <c r="I310" s="13"/>
      <c r="J310" s="13">
        <f t="shared" si="110"/>
        <v>0</v>
      </c>
      <c r="K310" s="13">
        <v>3.48E-3</v>
      </c>
      <c r="L310" s="13">
        <f t="shared" si="111"/>
        <v>0.10092</v>
      </c>
      <c r="N310" s="23" t="s">
        <v>7</v>
      </c>
      <c r="O310" s="13">
        <f t="shared" si="112"/>
        <v>0</v>
      </c>
      <c r="Z310" s="13">
        <f t="shared" si="113"/>
        <v>0</v>
      </c>
      <c r="AA310" s="13">
        <f t="shared" si="114"/>
        <v>0</v>
      </c>
      <c r="AB310" s="13">
        <f t="shared" si="115"/>
        <v>0</v>
      </c>
      <c r="AD310" s="24">
        <v>21</v>
      </c>
      <c r="AE310" s="24">
        <f>G310*0.282967914438503</f>
        <v>0</v>
      </c>
      <c r="AF310" s="24">
        <f>G310*(1-0.282967914438503)</f>
        <v>0</v>
      </c>
    </row>
    <row r="311" spans="1:37">
      <c r="A311" s="6" t="s">
        <v>265</v>
      </c>
      <c r="B311" s="6" t="s">
        <v>312</v>
      </c>
      <c r="C311" s="6" t="s">
        <v>564</v>
      </c>
      <c r="D311" s="6" t="s">
        <v>872</v>
      </c>
      <c r="E311" s="6" t="s">
        <v>919</v>
      </c>
      <c r="F311" s="13">
        <v>1</v>
      </c>
      <c r="G311" s="157"/>
      <c r="H311" s="13"/>
      <c r="I311" s="13"/>
      <c r="J311" s="13">
        <f t="shared" si="110"/>
        <v>0</v>
      </c>
      <c r="K311" s="13">
        <v>0</v>
      </c>
      <c r="L311" s="13">
        <f t="shared" si="111"/>
        <v>0</v>
      </c>
      <c r="N311" s="23" t="s">
        <v>11</v>
      </c>
      <c r="O311" s="13">
        <f t="shared" si="112"/>
        <v>0</v>
      </c>
      <c r="Z311" s="13">
        <f t="shared" si="113"/>
        <v>0</v>
      </c>
      <c r="AA311" s="13">
        <f t="shared" si="114"/>
        <v>0</v>
      </c>
      <c r="AB311" s="13">
        <f t="shared" si="115"/>
        <v>0</v>
      </c>
      <c r="AD311" s="24">
        <v>21</v>
      </c>
      <c r="AE311" s="24">
        <f>G311*0</f>
        <v>0</v>
      </c>
      <c r="AF311" s="24">
        <f>G311*(1-0)</f>
        <v>0</v>
      </c>
    </row>
    <row r="312" spans="1:37">
      <c r="A312" s="4"/>
      <c r="B312" s="4"/>
      <c r="C312" s="114" t="s">
        <v>466</v>
      </c>
      <c r="D312" s="135" t="s">
        <v>761</v>
      </c>
      <c r="E312" s="136"/>
      <c r="F312" s="136"/>
      <c r="G312" s="155"/>
      <c r="H312" s="26"/>
      <c r="I312" s="26"/>
      <c r="J312" s="26"/>
      <c r="K312" s="19"/>
      <c r="L312" s="26">
        <f>SUM(L313:L316)</f>
        <v>3.8570000000000002E-3</v>
      </c>
      <c r="P312" s="26">
        <f>IF(Q312="PR",J312,SUM(O313:O316))</f>
        <v>0</v>
      </c>
      <c r="Q312" s="19" t="s">
        <v>953</v>
      </c>
      <c r="R312" s="26">
        <f>IF(Q312="HS",H312,0)</f>
        <v>0</v>
      </c>
      <c r="S312" s="26">
        <f>IF(Q312="HS",I312-P312,0)</f>
        <v>0</v>
      </c>
      <c r="T312" s="26">
        <f>IF(Q312="PS",H312,0)</f>
        <v>0</v>
      </c>
      <c r="U312" s="26">
        <f>IF(Q312="PS",I312-P312,0)</f>
        <v>0</v>
      </c>
      <c r="V312" s="26">
        <f>IF(Q312="MP",H312,0)</f>
        <v>0</v>
      </c>
      <c r="W312" s="26">
        <f>IF(Q312="MP",I312-P312,0)</f>
        <v>0</v>
      </c>
      <c r="X312" s="26">
        <f>IF(Q312="OM",H312,0)</f>
        <v>0</v>
      </c>
      <c r="Y312" s="19" t="s">
        <v>312</v>
      </c>
      <c r="AI312" s="26">
        <f>SUM(Z313:Z316)</f>
        <v>0</v>
      </c>
      <c r="AJ312" s="26">
        <f>SUM(AA313:AA316)</f>
        <v>0</v>
      </c>
      <c r="AK312" s="26">
        <f>SUM(AB313:AB316)</f>
        <v>0</v>
      </c>
    </row>
    <row r="313" spans="1:37">
      <c r="A313" s="6" t="s">
        <v>266</v>
      </c>
      <c r="B313" s="6" t="s">
        <v>312</v>
      </c>
      <c r="C313" s="6" t="s">
        <v>565</v>
      </c>
      <c r="D313" s="6" t="s">
        <v>873</v>
      </c>
      <c r="E313" s="6" t="s">
        <v>929</v>
      </c>
      <c r="F313" s="13">
        <v>5.54</v>
      </c>
      <c r="G313" s="157"/>
      <c r="H313" s="13"/>
      <c r="I313" s="13"/>
      <c r="J313" s="13">
        <f>ROUND(F313*G313,2)</f>
        <v>0</v>
      </c>
      <c r="K313" s="13">
        <v>1.0000000000000001E-5</v>
      </c>
      <c r="L313" s="13">
        <f>F313*K313</f>
        <v>5.5400000000000005E-5</v>
      </c>
      <c r="N313" s="23" t="s">
        <v>7</v>
      </c>
      <c r="O313" s="13">
        <f>IF(N313="5",I313,0)</f>
        <v>0</v>
      </c>
      <c r="Z313" s="13">
        <f>IF(AD313=0,J313,0)</f>
        <v>0</v>
      </c>
      <c r="AA313" s="13">
        <f>IF(AD313=15,J313,0)</f>
        <v>0</v>
      </c>
      <c r="AB313" s="13">
        <f>IF(AD313=21,J313,0)</f>
        <v>0</v>
      </c>
      <c r="AD313" s="24">
        <v>21</v>
      </c>
      <c r="AE313" s="24">
        <f>G313*0.0512690355329949</f>
        <v>0</v>
      </c>
      <c r="AF313" s="24">
        <f>G313*(1-0.0512690355329949)</f>
        <v>0</v>
      </c>
    </row>
    <row r="314" spans="1:37">
      <c r="A314" s="6" t="s">
        <v>267</v>
      </c>
      <c r="B314" s="6" t="s">
        <v>312</v>
      </c>
      <c r="C314" s="6" t="s">
        <v>566</v>
      </c>
      <c r="D314" s="6" t="s">
        <v>874</v>
      </c>
      <c r="E314" s="6" t="s">
        <v>929</v>
      </c>
      <c r="F314" s="13">
        <v>5.54</v>
      </c>
      <c r="G314" s="157"/>
      <c r="H314" s="13"/>
      <c r="I314" s="13"/>
      <c r="J314" s="13">
        <f>ROUND(F314*G314,2)</f>
        <v>0</v>
      </c>
      <c r="K314" s="13">
        <v>5.2999999999999998E-4</v>
      </c>
      <c r="L314" s="13">
        <f>F314*K314</f>
        <v>2.9361999999999999E-3</v>
      </c>
      <c r="N314" s="23" t="s">
        <v>7</v>
      </c>
      <c r="O314" s="13">
        <f>IF(N314="5",I314,0)</f>
        <v>0</v>
      </c>
      <c r="Z314" s="13">
        <f>IF(AD314=0,J314,0)</f>
        <v>0</v>
      </c>
      <c r="AA314" s="13">
        <f>IF(AD314=15,J314,0)</f>
        <v>0</v>
      </c>
      <c r="AB314" s="13">
        <f>IF(AD314=21,J314,0)</f>
        <v>0</v>
      </c>
      <c r="AD314" s="24">
        <v>21</v>
      </c>
      <c r="AE314" s="24">
        <f>G314*0.462692397843582</f>
        <v>0</v>
      </c>
      <c r="AF314" s="24">
        <f>G314*(1-0.462692397843582)</f>
        <v>0</v>
      </c>
    </row>
    <row r="315" spans="1:37">
      <c r="A315" s="6" t="s">
        <v>268</v>
      </c>
      <c r="B315" s="6" t="s">
        <v>312</v>
      </c>
      <c r="C315" s="6" t="s">
        <v>469</v>
      </c>
      <c r="D315" s="6" t="s">
        <v>875</v>
      </c>
      <c r="E315" s="6" t="s">
        <v>927</v>
      </c>
      <c r="F315" s="13">
        <v>9</v>
      </c>
      <c r="G315" s="157"/>
      <c r="H315" s="13"/>
      <c r="I315" s="13"/>
      <c r="J315" s="13">
        <f>ROUND(F315*G315,2)</f>
        <v>0</v>
      </c>
      <c r="K315" s="13">
        <v>9.0000000000000006E-5</v>
      </c>
      <c r="L315" s="13">
        <f>F315*K315</f>
        <v>8.1000000000000006E-4</v>
      </c>
      <c r="N315" s="23" t="s">
        <v>7</v>
      </c>
      <c r="O315" s="13">
        <f>IF(N315="5",I315,0)</f>
        <v>0</v>
      </c>
      <c r="Z315" s="13">
        <f>IF(AD315=0,J315,0)</f>
        <v>0</v>
      </c>
      <c r="AA315" s="13">
        <f>IF(AD315=15,J315,0)</f>
        <v>0</v>
      </c>
      <c r="AB315" s="13">
        <f>IF(AD315=21,J315,0)</f>
        <v>0</v>
      </c>
      <c r="AD315" s="24">
        <v>21</v>
      </c>
      <c r="AE315" s="24">
        <f>G315*0.234990411565128</f>
        <v>0</v>
      </c>
      <c r="AF315" s="24">
        <f>G315*(1-0.234990411565128)</f>
        <v>0</v>
      </c>
    </row>
    <row r="316" spans="1:37">
      <c r="A316" s="6" t="s">
        <v>269</v>
      </c>
      <c r="B316" s="6" t="s">
        <v>312</v>
      </c>
      <c r="C316" s="6" t="s">
        <v>471</v>
      </c>
      <c r="D316" s="6" t="s">
        <v>766</v>
      </c>
      <c r="E316" s="6" t="s">
        <v>929</v>
      </c>
      <c r="F316" s="13">
        <v>5.54</v>
      </c>
      <c r="G316" s="157"/>
      <c r="H316" s="13"/>
      <c r="I316" s="13"/>
      <c r="J316" s="13">
        <f>ROUND(F316*G316,2)</f>
        <v>0</v>
      </c>
      <c r="K316" s="13">
        <v>1.0000000000000001E-5</v>
      </c>
      <c r="L316" s="13">
        <f>F316*K316</f>
        <v>5.5400000000000005E-5</v>
      </c>
      <c r="N316" s="23" t="s">
        <v>7</v>
      </c>
      <c r="O316" s="13">
        <f>IF(N316="5",I316,0)</f>
        <v>0</v>
      </c>
      <c r="Z316" s="13">
        <f>IF(AD316=0,J316,0)</f>
        <v>0</v>
      </c>
      <c r="AA316" s="13">
        <f>IF(AD316=15,J316,0)</f>
        <v>0</v>
      </c>
      <c r="AB316" s="13">
        <f>IF(AD316=21,J316,0)</f>
        <v>0</v>
      </c>
      <c r="AD316" s="24">
        <v>21</v>
      </c>
      <c r="AE316" s="24">
        <f>G316*0.0745131244707875</f>
        <v>0</v>
      </c>
      <c r="AF316" s="24">
        <f>G316*(1-0.0745131244707875)</f>
        <v>0</v>
      </c>
    </row>
    <row r="317" spans="1:37">
      <c r="A317" s="4"/>
      <c r="B317" s="4"/>
      <c r="C317" s="114" t="s">
        <v>567</v>
      </c>
      <c r="D317" s="135" t="s">
        <v>876</v>
      </c>
      <c r="E317" s="136"/>
      <c r="F317" s="136"/>
      <c r="G317" s="155"/>
      <c r="H317" s="26"/>
      <c r="I317" s="26"/>
      <c r="J317" s="26"/>
      <c r="K317" s="19"/>
      <c r="L317" s="26">
        <f>SUM(L318:L319)</f>
        <v>8.4992999999999999E-2</v>
      </c>
      <c r="P317" s="26">
        <f>IF(Q317="PR",J317,SUM(O318:O319))</f>
        <v>0</v>
      </c>
      <c r="Q317" s="19" t="s">
        <v>953</v>
      </c>
      <c r="R317" s="26">
        <f>IF(Q317="HS",H317,0)</f>
        <v>0</v>
      </c>
      <c r="S317" s="26">
        <f>IF(Q317="HS",I317-P317,0)</f>
        <v>0</v>
      </c>
      <c r="T317" s="26">
        <f>IF(Q317="PS",H317,0)</f>
        <v>0</v>
      </c>
      <c r="U317" s="26">
        <f>IF(Q317="PS",I317-P317,0)</f>
        <v>0</v>
      </c>
      <c r="V317" s="26">
        <f>IF(Q317="MP",H317,0)</f>
        <v>0</v>
      </c>
      <c r="W317" s="26">
        <f>IF(Q317="MP",I317-P317,0)</f>
        <v>0</v>
      </c>
      <c r="X317" s="26">
        <f>IF(Q317="OM",H317,0)</f>
        <v>0</v>
      </c>
      <c r="Y317" s="19" t="s">
        <v>312</v>
      </c>
      <c r="AI317" s="26">
        <f>SUM(Z318:Z319)</f>
        <v>0</v>
      </c>
      <c r="AJ317" s="26">
        <f>SUM(AA318:AA319)</f>
        <v>0</v>
      </c>
      <c r="AK317" s="26">
        <f>SUM(AB318:AB319)</f>
        <v>0</v>
      </c>
    </row>
    <row r="318" spans="1:37">
      <c r="A318" s="6" t="s">
        <v>270</v>
      </c>
      <c r="B318" s="6" t="s">
        <v>312</v>
      </c>
      <c r="C318" s="6" t="s">
        <v>568</v>
      </c>
      <c r="D318" s="6" t="s">
        <v>877</v>
      </c>
      <c r="E318" s="6" t="s">
        <v>929</v>
      </c>
      <c r="F318" s="13">
        <v>207.3</v>
      </c>
      <c r="G318" s="157"/>
      <c r="H318" s="13"/>
      <c r="I318" s="13"/>
      <c r="J318" s="13">
        <f>ROUND(F318*G318,2)</f>
        <v>0</v>
      </c>
      <c r="K318" s="13">
        <v>4.0999999999999999E-4</v>
      </c>
      <c r="L318" s="13">
        <f>F318*K318</f>
        <v>8.4992999999999999E-2</v>
      </c>
      <c r="N318" s="23" t="s">
        <v>7</v>
      </c>
      <c r="O318" s="13">
        <f>IF(N318="5",I318,0)</f>
        <v>0</v>
      </c>
      <c r="Z318" s="13">
        <f>IF(AD318=0,J318,0)</f>
        <v>0</v>
      </c>
      <c r="AA318" s="13">
        <f>IF(AD318=15,J318,0)</f>
        <v>0</v>
      </c>
      <c r="AB318" s="13">
        <f>IF(AD318=21,J318,0)</f>
        <v>0</v>
      </c>
      <c r="AD318" s="24">
        <v>21</v>
      </c>
      <c r="AE318" s="24">
        <f>G318*0.0688963210702341</f>
        <v>0</v>
      </c>
      <c r="AF318" s="24">
        <f>G318*(1-0.0688963210702341)</f>
        <v>0</v>
      </c>
    </row>
    <row r="319" spans="1:37">
      <c r="A319" s="6" t="s">
        <v>271</v>
      </c>
      <c r="B319" s="6" t="s">
        <v>312</v>
      </c>
      <c r="C319" s="6" t="s">
        <v>569</v>
      </c>
      <c r="D319" s="6" t="s">
        <v>878</v>
      </c>
      <c r="E319" s="6" t="s">
        <v>929</v>
      </c>
      <c r="F319" s="13">
        <v>155.30000000000001</v>
      </c>
      <c r="G319" s="157"/>
      <c r="H319" s="13"/>
      <c r="I319" s="13"/>
      <c r="J319" s="13">
        <f>ROUND(F319*G319,2)</f>
        <v>0</v>
      </c>
      <c r="K319" s="13">
        <v>0</v>
      </c>
      <c r="L319" s="13">
        <f>F319*K319</f>
        <v>0</v>
      </c>
      <c r="N319" s="23" t="s">
        <v>9</v>
      </c>
      <c r="O319" s="13">
        <f>IF(N319="5",I319,0)</f>
        <v>0</v>
      </c>
      <c r="Z319" s="13">
        <f>IF(AD319=0,J319,0)</f>
        <v>0</v>
      </c>
      <c r="AA319" s="13">
        <f>IF(AD319=15,J319,0)</f>
        <v>0</v>
      </c>
      <c r="AB319" s="13">
        <f>IF(AD319=21,J319,0)</f>
        <v>0</v>
      </c>
      <c r="AD319" s="24">
        <v>21</v>
      </c>
      <c r="AE319" s="24">
        <f>G319*0.00380952380952381</f>
        <v>0</v>
      </c>
      <c r="AF319" s="24">
        <f>G319*(1-0.00380952380952381)</f>
        <v>0</v>
      </c>
    </row>
    <row r="320" spans="1:37">
      <c r="A320" s="4"/>
      <c r="B320" s="4"/>
      <c r="C320" s="114" t="s">
        <v>102</v>
      </c>
      <c r="D320" s="135" t="s">
        <v>879</v>
      </c>
      <c r="E320" s="136"/>
      <c r="F320" s="136"/>
      <c r="G320" s="155"/>
      <c r="H320" s="26"/>
      <c r="I320" s="26"/>
      <c r="J320" s="26"/>
      <c r="K320" s="19"/>
      <c r="L320" s="26">
        <f>SUM(L321:L328)</f>
        <v>20.326350000000001</v>
      </c>
      <c r="P320" s="26">
        <f>IF(Q320="PR",J320,SUM(O321:O328))</f>
        <v>0</v>
      </c>
      <c r="Q320" s="19" t="s">
        <v>956</v>
      </c>
      <c r="R320" s="26">
        <f>IF(Q320="HS",H320,0)</f>
        <v>0</v>
      </c>
      <c r="S320" s="26">
        <f>IF(Q320="HS",I320-P320,0)</f>
        <v>0</v>
      </c>
      <c r="T320" s="26">
        <f>IF(Q320="PS",H320,0)</f>
        <v>0</v>
      </c>
      <c r="U320" s="26">
        <f>IF(Q320="PS",I320-P320,0)</f>
        <v>0</v>
      </c>
      <c r="V320" s="26">
        <f>IF(Q320="MP",H320,0)</f>
        <v>0</v>
      </c>
      <c r="W320" s="26">
        <f>IF(Q320="MP",I320-P320,0)</f>
        <v>0</v>
      </c>
      <c r="X320" s="26">
        <f>IF(Q320="OM",H320,0)</f>
        <v>0</v>
      </c>
      <c r="Y320" s="19" t="s">
        <v>312</v>
      </c>
      <c r="AI320" s="26">
        <f>SUM(Z321:Z328)</f>
        <v>0</v>
      </c>
      <c r="AJ320" s="26">
        <f>SUM(AA321:AA328)</f>
        <v>0</v>
      </c>
      <c r="AK320" s="26">
        <f>SUM(AB321:AB328)</f>
        <v>0</v>
      </c>
    </row>
    <row r="321" spans="1:37">
      <c r="A321" s="6" t="s">
        <v>272</v>
      </c>
      <c r="B321" s="6" t="s">
        <v>312</v>
      </c>
      <c r="C321" s="6" t="s">
        <v>570</v>
      </c>
      <c r="D321" s="6" t="s">
        <v>880</v>
      </c>
      <c r="E321" s="6" t="s">
        <v>932</v>
      </c>
      <c r="F321" s="13">
        <v>1.98</v>
      </c>
      <c r="G321" s="157"/>
      <c r="H321" s="13"/>
      <c r="I321" s="13"/>
      <c r="J321" s="13">
        <f t="shared" ref="J321:J328" si="116">ROUND(F321*G321,2)</f>
        <v>0</v>
      </c>
      <c r="K321" s="13">
        <v>1.8</v>
      </c>
      <c r="L321" s="13">
        <f t="shared" ref="L321:L328" si="117">F321*K321</f>
        <v>3.5640000000000001</v>
      </c>
      <c r="N321" s="23" t="s">
        <v>7</v>
      </c>
      <c r="O321" s="13">
        <f t="shared" ref="O321:O328" si="118">IF(N321="5",I321,0)</f>
        <v>0</v>
      </c>
      <c r="Z321" s="13">
        <f t="shared" ref="Z321:Z328" si="119">IF(AD321=0,J321,0)</f>
        <v>0</v>
      </c>
      <c r="AA321" s="13">
        <f t="shared" ref="AA321:AA328" si="120">IF(AD321=15,J321,0)</f>
        <v>0</v>
      </c>
      <c r="AB321" s="13">
        <f t="shared" ref="AB321:AB328" si="121">IF(AD321=21,J321,0)</f>
        <v>0</v>
      </c>
      <c r="AD321" s="24">
        <v>21</v>
      </c>
      <c r="AE321" s="24">
        <f>G321*0</f>
        <v>0</v>
      </c>
      <c r="AF321" s="24">
        <f>G321*(1-0)</f>
        <v>0</v>
      </c>
    </row>
    <row r="322" spans="1:37">
      <c r="A322" s="6" t="s">
        <v>273</v>
      </c>
      <c r="B322" s="6" t="s">
        <v>312</v>
      </c>
      <c r="C322" s="6" t="s">
        <v>571</v>
      </c>
      <c r="D322" s="6" t="s">
        <v>881</v>
      </c>
      <c r="E322" s="6" t="s">
        <v>932</v>
      </c>
      <c r="F322" s="13">
        <v>0.26</v>
      </c>
      <c r="G322" s="157"/>
      <c r="H322" s="13"/>
      <c r="I322" s="13"/>
      <c r="J322" s="13">
        <f t="shared" si="116"/>
        <v>0</v>
      </c>
      <c r="K322" s="13">
        <v>2</v>
      </c>
      <c r="L322" s="13">
        <f t="shared" si="117"/>
        <v>0.52</v>
      </c>
      <c r="N322" s="23" t="s">
        <v>7</v>
      </c>
      <c r="O322" s="13">
        <f t="shared" si="118"/>
        <v>0</v>
      </c>
      <c r="Z322" s="13">
        <f t="shared" si="119"/>
        <v>0</v>
      </c>
      <c r="AA322" s="13">
        <f t="shared" si="120"/>
        <v>0</v>
      </c>
      <c r="AB322" s="13">
        <f t="shared" si="121"/>
        <v>0</v>
      </c>
      <c r="AD322" s="24">
        <v>21</v>
      </c>
      <c r="AE322" s="24">
        <f>G322*0</f>
        <v>0</v>
      </c>
      <c r="AF322" s="24">
        <f>G322*(1-0)</f>
        <v>0</v>
      </c>
    </row>
    <row r="323" spans="1:37">
      <c r="A323" s="6" t="s">
        <v>274</v>
      </c>
      <c r="B323" s="6" t="s">
        <v>312</v>
      </c>
      <c r="C323" s="6" t="s">
        <v>572</v>
      </c>
      <c r="D323" s="6" t="s">
        <v>882</v>
      </c>
      <c r="E323" s="6" t="s">
        <v>932</v>
      </c>
      <c r="F323" s="13">
        <v>0.2</v>
      </c>
      <c r="G323" s="157"/>
      <c r="H323" s="13"/>
      <c r="I323" s="13"/>
      <c r="J323" s="13">
        <f t="shared" si="116"/>
        <v>0</v>
      </c>
      <c r="K323" s="13">
        <v>1.8</v>
      </c>
      <c r="L323" s="13">
        <f t="shared" si="117"/>
        <v>0.36000000000000004</v>
      </c>
      <c r="N323" s="23" t="s">
        <v>7</v>
      </c>
      <c r="O323" s="13">
        <f t="shared" si="118"/>
        <v>0</v>
      </c>
      <c r="Z323" s="13">
        <f t="shared" si="119"/>
        <v>0</v>
      </c>
      <c r="AA323" s="13">
        <f t="shared" si="120"/>
        <v>0</v>
      </c>
      <c r="AB323" s="13">
        <f t="shared" si="121"/>
        <v>0</v>
      </c>
      <c r="AD323" s="24">
        <v>21</v>
      </c>
      <c r="AE323" s="24">
        <f>G323*0.05</f>
        <v>0</v>
      </c>
      <c r="AF323" s="24">
        <f>G323*(1-0.05)</f>
        <v>0</v>
      </c>
    </row>
    <row r="324" spans="1:37">
      <c r="A324" s="6" t="s">
        <v>275</v>
      </c>
      <c r="B324" s="6" t="s">
        <v>312</v>
      </c>
      <c r="C324" s="6" t="s">
        <v>573</v>
      </c>
      <c r="D324" s="6" t="s">
        <v>883</v>
      </c>
      <c r="E324" s="6" t="s">
        <v>929</v>
      </c>
      <c r="F324" s="13">
        <v>0.55000000000000004</v>
      </c>
      <c r="G324" s="157"/>
      <c r="H324" s="13"/>
      <c r="I324" s="13"/>
      <c r="J324" s="13">
        <f t="shared" si="116"/>
        <v>0</v>
      </c>
      <c r="K324" s="13">
        <v>0.36</v>
      </c>
      <c r="L324" s="13">
        <f t="shared" si="117"/>
        <v>0.19800000000000001</v>
      </c>
      <c r="N324" s="23" t="s">
        <v>7</v>
      </c>
      <c r="O324" s="13">
        <f t="shared" si="118"/>
        <v>0</v>
      </c>
      <c r="Z324" s="13">
        <f t="shared" si="119"/>
        <v>0</v>
      </c>
      <c r="AA324" s="13">
        <f t="shared" si="120"/>
        <v>0</v>
      </c>
      <c r="AB324" s="13">
        <f t="shared" si="121"/>
        <v>0</v>
      </c>
      <c r="AD324" s="24">
        <v>21</v>
      </c>
      <c r="AE324" s="24">
        <f>G324*0</f>
        <v>0</v>
      </c>
      <c r="AF324" s="24">
        <f>G324*(1-0)</f>
        <v>0</v>
      </c>
    </row>
    <row r="325" spans="1:37">
      <c r="A325" s="6" t="s">
        <v>276</v>
      </c>
      <c r="B325" s="6" t="s">
        <v>312</v>
      </c>
      <c r="C325" s="6" t="s">
        <v>574</v>
      </c>
      <c r="D325" s="6" t="s">
        <v>884</v>
      </c>
      <c r="E325" s="6" t="s">
        <v>932</v>
      </c>
      <c r="F325" s="13">
        <v>1.82</v>
      </c>
      <c r="G325" s="157"/>
      <c r="H325" s="13"/>
      <c r="I325" s="13"/>
      <c r="J325" s="13">
        <f t="shared" si="116"/>
        <v>0</v>
      </c>
      <c r="K325" s="13">
        <v>2.2000000000000002</v>
      </c>
      <c r="L325" s="13">
        <f t="shared" si="117"/>
        <v>4.0040000000000004</v>
      </c>
      <c r="N325" s="23" t="s">
        <v>7</v>
      </c>
      <c r="O325" s="13">
        <f t="shared" si="118"/>
        <v>0</v>
      </c>
      <c r="Z325" s="13">
        <f t="shared" si="119"/>
        <v>0</v>
      </c>
      <c r="AA325" s="13">
        <f t="shared" si="120"/>
        <v>0</v>
      </c>
      <c r="AB325" s="13">
        <f t="shared" si="121"/>
        <v>0</v>
      </c>
      <c r="AD325" s="24">
        <v>21</v>
      </c>
      <c r="AE325" s="24">
        <f>G325*0</f>
        <v>0</v>
      </c>
      <c r="AF325" s="24">
        <f>G325*(1-0)</f>
        <v>0</v>
      </c>
    </row>
    <row r="326" spans="1:37">
      <c r="A326" s="6" t="s">
        <v>277</v>
      </c>
      <c r="B326" s="6" t="s">
        <v>312</v>
      </c>
      <c r="C326" s="6" t="s">
        <v>575</v>
      </c>
      <c r="D326" s="6" t="s">
        <v>885</v>
      </c>
      <c r="E326" s="6" t="s">
        <v>932</v>
      </c>
      <c r="F326" s="13">
        <v>5.28</v>
      </c>
      <c r="G326" s="157"/>
      <c r="H326" s="13"/>
      <c r="I326" s="13"/>
      <c r="J326" s="13">
        <f t="shared" si="116"/>
        <v>0</v>
      </c>
      <c r="K326" s="13">
        <v>2.2000000000000002</v>
      </c>
      <c r="L326" s="13">
        <f t="shared" si="117"/>
        <v>11.616000000000001</v>
      </c>
      <c r="N326" s="23" t="s">
        <v>7</v>
      </c>
      <c r="O326" s="13">
        <f t="shared" si="118"/>
        <v>0</v>
      </c>
      <c r="Z326" s="13">
        <f t="shared" si="119"/>
        <v>0</v>
      </c>
      <c r="AA326" s="13">
        <f t="shared" si="120"/>
        <v>0</v>
      </c>
      <c r="AB326" s="13">
        <f t="shared" si="121"/>
        <v>0</v>
      </c>
      <c r="AD326" s="24">
        <v>21</v>
      </c>
      <c r="AE326" s="24">
        <f>G326*0</f>
        <v>0</v>
      </c>
      <c r="AF326" s="24">
        <f>G326*(1-0)</f>
        <v>0</v>
      </c>
    </row>
    <row r="327" spans="1:37">
      <c r="A327" s="6" t="s">
        <v>278</v>
      </c>
      <c r="B327" s="6" t="s">
        <v>312</v>
      </c>
      <c r="C327" s="6" t="s">
        <v>576</v>
      </c>
      <c r="D327" s="6" t="s">
        <v>886</v>
      </c>
      <c r="E327" s="6" t="s">
        <v>921</v>
      </c>
      <c r="F327" s="13">
        <v>2</v>
      </c>
      <c r="G327" s="157"/>
      <c r="H327" s="13"/>
      <c r="I327" s="13"/>
      <c r="J327" s="13">
        <f t="shared" si="116"/>
        <v>0</v>
      </c>
      <c r="K327" s="13">
        <v>0</v>
      </c>
      <c r="L327" s="13">
        <f t="shared" si="117"/>
        <v>0</v>
      </c>
      <c r="N327" s="23" t="s">
        <v>7</v>
      </c>
      <c r="O327" s="13">
        <f t="shared" si="118"/>
        <v>0</v>
      </c>
      <c r="Z327" s="13">
        <f t="shared" si="119"/>
        <v>0</v>
      </c>
      <c r="AA327" s="13">
        <f t="shared" si="120"/>
        <v>0</v>
      </c>
      <c r="AB327" s="13">
        <f t="shared" si="121"/>
        <v>0</v>
      </c>
      <c r="AD327" s="24">
        <v>21</v>
      </c>
      <c r="AE327" s="24">
        <f>G327*0</f>
        <v>0</v>
      </c>
      <c r="AF327" s="24">
        <f>G327*(1-0)</f>
        <v>0</v>
      </c>
    </row>
    <row r="328" spans="1:37">
      <c r="A328" s="6" t="s">
        <v>279</v>
      </c>
      <c r="B328" s="6" t="s">
        <v>312</v>
      </c>
      <c r="C328" s="6" t="s">
        <v>577</v>
      </c>
      <c r="D328" s="6" t="s">
        <v>887</v>
      </c>
      <c r="E328" s="6" t="s">
        <v>929</v>
      </c>
      <c r="F328" s="13">
        <v>0.99</v>
      </c>
      <c r="G328" s="157"/>
      <c r="H328" s="13"/>
      <c r="I328" s="13"/>
      <c r="J328" s="13">
        <f t="shared" si="116"/>
        <v>0</v>
      </c>
      <c r="K328" s="13">
        <v>6.5000000000000002E-2</v>
      </c>
      <c r="L328" s="13">
        <f t="shared" si="117"/>
        <v>6.4350000000000004E-2</v>
      </c>
      <c r="N328" s="23" t="s">
        <v>7</v>
      </c>
      <c r="O328" s="13">
        <f t="shared" si="118"/>
        <v>0</v>
      </c>
      <c r="Z328" s="13">
        <f t="shared" si="119"/>
        <v>0</v>
      </c>
      <c r="AA328" s="13">
        <f t="shared" si="120"/>
        <v>0</v>
      </c>
      <c r="AB328" s="13">
        <f t="shared" si="121"/>
        <v>0</v>
      </c>
      <c r="AD328" s="24">
        <v>21</v>
      </c>
      <c r="AE328" s="24">
        <f>G328*0.237823834196891</f>
        <v>0</v>
      </c>
      <c r="AF328" s="24">
        <f>G328*(1-0.237823834196891)</f>
        <v>0</v>
      </c>
    </row>
    <row r="329" spans="1:37">
      <c r="A329" s="4"/>
      <c r="B329" s="4"/>
      <c r="C329" s="114" t="s">
        <v>103</v>
      </c>
      <c r="D329" s="135" t="s">
        <v>888</v>
      </c>
      <c r="E329" s="136"/>
      <c r="F329" s="136"/>
      <c r="G329" s="155"/>
      <c r="H329" s="26"/>
      <c r="I329" s="26"/>
      <c r="J329" s="26"/>
      <c r="K329" s="19"/>
      <c r="L329" s="26">
        <f>SUM(L330:L336)</f>
        <v>6.5251999999999999</v>
      </c>
      <c r="P329" s="26">
        <f>IF(Q329="PR",J329,SUM(O330:O336))</f>
        <v>0</v>
      </c>
      <c r="Q329" s="19" t="s">
        <v>956</v>
      </c>
      <c r="R329" s="26">
        <f>IF(Q329="HS",H329,0)</f>
        <v>0</v>
      </c>
      <c r="S329" s="26">
        <f>IF(Q329="HS",I329-P329,0)</f>
        <v>0</v>
      </c>
      <c r="T329" s="26">
        <f>IF(Q329="PS",H329,0)</f>
        <v>0</v>
      </c>
      <c r="U329" s="26">
        <f>IF(Q329="PS",I329-P329,0)</f>
        <v>0</v>
      </c>
      <c r="V329" s="26">
        <f>IF(Q329="MP",H329,0)</f>
        <v>0</v>
      </c>
      <c r="W329" s="26">
        <f>IF(Q329="MP",I329-P329,0)</f>
        <v>0</v>
      </c>
      <c r="X329" s="26">
        <f>IF(Q329="OM",H329,0)</f>
        <v>0</v>
      </c>
      <c r="Y329" s="19" t="s">
        <v>312</v>
      </c>
      <c r="AI329" s="26">
        <f>SUM(Z330:Z336)</f>
        <v>0</v>
      </c>
      <c r="AJ329" s="26">
        <f>SUM(AA330:AA336)</f>
        <v>0</v>
      </c>
      <c r="AK329" s="26">
        <f>SUM(AB330:AB336)</f>
        <v>0</v>
      </c>
    </row>
    <row r="330" spans="1:37">
      <c r="A330" s="6" t="s">
        <v>280</v>
      </c>
      <c r="B330" s="6" t="s">
        <v>312</v>
      </c>
      <c r="C330" s="6" t="s">
        <v>578</v>
      </c>
      <c r="D330" s="6" t="s">
        <v>889</v>
      </c>
      <c r="E330" s="6" t="s">
        <v>932</v>
      </c>
      <c r="F330" s="13">
        <v>0.16</v>
      </c>
      <c r="G330" s="157"/>
      <c r="H330" s="13"/>
      <c r="I330" s="13"/>
      <c r="J330" s="13">
        <f t="shared" ref="J330:J336" si="122">ROUND(F330*G330,2)</f>
        <v>0</v>
      </c>
      <c r="K330" s="13">
        <v>1.95</v>
      </c>
      <c r="L330" s="13">
        <f t="shared" ref="L330:L336" si="123">F330*K330</f>
        <v>0.312</v>
      </c>
      <c r="N330" s="23" t="s">
        <v>7</v>
      </c>
      <c r="O330" s="13">
        <f t="shared" ref="O330:O336" si="124">IF(N330="5",I330,0)</f>
        <v>0</v>
      </c>
      <c r="Z330" s="13">
        <f t="shared" ref="Z330:Z336" si="125">IF(AD330=0,J330,0)</f>
        <v>0</v>
      </c>
      <c r="AA330" s="13">
        <f t="shared" ref="AA330:AA336" si="126">IF(AD330=15,J330,0)</f>
        <v>0</v>
      </c>
      <c r="AB330" s="13">
        <f t="shared" ref="AB330:AB336" si="127">IF(AD330=21,J330,0)</f>
        <v>0</v>
      </c>
      <c r="AD330" s="24">
        <v>21</v>
      </c>
      <c r="AE330" s="24">
        <f>G330*0.0255686032138443</f>
        <v>0</v>
      </c>
      <c r="AF330" s="24">
        <f>G330*(1-0.0255686032138443)</f>
        <v>0</v>
      </c>
    </row>
    <row r="331" spans="1:37">
      <c r="A331" s="6" t="s">
        <v>281</v>
      </c>
      <c r="B331" s="6" t="s">
        <v>312</v>
      </c>
      <c r="C331" s="6" t="s">
        <v>579</v>
      </c>
      <c r="D331" s="6" t="s">
        <v>890</v>
      </c>
      <c r="E331" s="6" t="s">
        <v>932</v>
      </c>
      <c r="F331" s="13">
        <v>0.59</v>
      </c>
      <c r="G331" s="157"/>
      <c r="H331" s="13"/>
      <c r="I331" s="13"/>
      <c r="J331" s="13">
        <f t="shared" si="122"/>
        <v>0</v>
      </c>
      <c r="K331" s="13">
        <v>1.95</v>
      </c>
      <c r="L331" s="13">
        <f t="shared" si="123"/>
        <v>1.1504999999999999</v>
      </c>
      <c r="N331" s="23" t="s">
        <v>7</v>
      </c>
      <c r="O331" s="13">
        <f t="shared" si="124"/>
        <v>0</v>
      </c>
      <c r="Z331" s="13">
        <f t="shared" si="125"/>
        <v>0</v>
      </c>
      <c r="AA331" s="13">
        <f t="shared" si="126"/>
        <v>0</v>
      </c>
      <c r="AB331" s="13">
        <f t="shared" si="127"/>
        <v>0</v>
      </c>
      <c r="AD331" s="24">
        <v>21</v>
      </c>
      <c r="AE331" s="24">
        <f>G331*0.0228185328185328</f>
        <v>0</v>
      </c>
      <c r="AF331" s="24">
        <f>G331*(1-0.0228185328185328)</f>
        <v>0</v>
      </c>
    </row>
    <row r="332" spans="1:37">
      <c r="A332" s="6" t="s">
        <v>282</v>
      </c>
      <c r="B332" s="6" t="s">
        <v>312</v>
      </c>
      <c r="C332" s="6" t="s">
        <v>580</v>
      </c>
      <c r="D332" s="6" t="s">
        <v>891</v>
      </c>
      <c r="E332" s="6" t="s">
        <v>929</v>
      </c>
      <c r="F332" s="13">
        <v>60.3</v>
      </c>
      <c r="G332" s="157"/>
      <c r="H332" s="13"/>
      <c r="I332" s="13"/>
      <c r="J332" s="13">
        <f t="shared" si="122"/>
        <v>0</v>
      </c>
      <c r="K332" s="13">
        <v>4.0000000000000001E-3</v>
      </c>
      <c r="L332" s="13">
        <f t="shared" si="123"/>
        <v>0.2412</v>
      </c>
      <c r="N332" s="23" t="s">
        <v>7</v>
      </c>
      <c r="O332" s="13">
        <f t="shared" si="124"/>
        <v>0</v>
      </c>
      <c r="Z332" s="13">
        <f t="shared" si="125"/>
        <v>0</v>
      </c>
      <c r="AA332" s="13">
        <f t="shared" si="126"/>
        <v>0</v>
      </c>
      <c r="AB332" s="13">
        <f t="shared" si="127"/>
        <v>0</v>
      </c>
      <c r="AD332" s="24">
        <v>21</v>
      </c>
      <c r="AE332" s="24">
        <f>G332*0</f>
        <v>0</v>
      </c>
      <c r="AF332" s="24">
        <f>G332*(1-0)</f>
        <v>0</v>
      </c>
    </row>
    <row r="333" spans="1:37">
      <c r="A333" s="6" t="s">
        <v>283</v>
      </c>
      <c r="B333" s="6" t="s">
        <v>312</v>
      </c>
      <c r="C333" s="6" t="s">
        <v>581</v>
      </c>
      <c r="D333" s="6" t="s">
        <v>892</v>
      </c>
      <c r="E333" s="6" t="s">
        <v>929</v>
      </c>
      <c r="F333" s="13">
        <v>95</v>
      </c>
      <c r="G333" s="157"/>
      <c r="H333" s="13"/>
      <c r="I333" s="13"/>
      <c r="J333" s="13">
        <f t="shared" si="122"/>
        <v>0</v>
      </c>
      <c r="K333" s="13">
        <v>4.0000000000000001E-3</v>
      </c>
      <c r="L333" s="13">
        <f t="shared" si="123"/>
        <v>0.38</v>
      </c>
      <c r="N333" s="23" t="s">
        <v>7</v>
      </c>
      <c r="O333" s="13">
        <f t="shared" si="124"/>
        <v>0</v>
      </c>
      <c r="Z333" s="13">
        <f t="shared" si="125"/>
        <v>0</v>
      </c>
      <c r="AA333" s="13">
        <f t="shared" si="126"/>
        <v>0</v>
      </c>
      <c r="AB333" s="13">
        <f t="shared" si="127"/>
        <v>0</v>
      </c>
      <c r="AD333" s="24">
        <v>21</v>
      </c>
      <c r="AE333" s="24">
        <f>G333*0</f>
        <v>0</v>
      </c>
      <c r="AF333" s="24">
        <f>G333*(1-0)</f>
        <v>0</v>
      </c>
    </row>
    <row r="334" spans="1:37">
      <c r="A334" s="6" t="s">
        <v>284</v>
      </c>
      <c r="B334" s="6" t="s">
        <v>312</v>
      </c>
      <c r="C334" s="6" t="s">
        <v>582</v>
      </c>
      <c r="D334" s="6" t="s">
        <v>893</v>
      </c>
      <c r="E334" s="6" t="s">
        <v>929</v>
      </c>
      <c r="F334" s="13">
        <v>26.5</v>
      </c>
      <c r="G334" s="157"/>
      <c r="H334" s="13"/>
      <c r="I334" s="13"/>
      <c r="J334" s="13">
        <f t="shared" si="122"/>
        <v>0</v>
      </c>
      <c r="K334" s="13">
        <v>7.2999999999999995E-2</v>
      </c>
      <c r="L334" s="13">
        <f t="shared" si="123"/>
        <v>1.9344999999999999</v>
      </c>
      <c r="N334" s="23" t="s">
        <v>7</v>
      </c>
      <c r="O334" s="13">
        <f t="shared" si="124"/>
        <v>0</v>
      </c>
      <c r="Z334" s="13">
        <f t="shared" si="125"/>
        <v>0</v>
      </c>
      <c r="AA334" s="13">
        <f t="shared" si="126"/>
        <v>0</v>
      </c>
      <c r="AB334" s="13">
        <f t="shared" si="127"/>
        <v>0</v>
      </c>
      <c r="AD334" s="24">
        <v>21</v>
      </c>
      <c r="AE334" s="24">
        <f>G334*0</f>
        <v>0</v>
      </c>
      <c r="AF334" s="24">
        <f>G334*(1-0)</f>
        <v>0</v>
      </c>
    </row>
    <row r="335" spans="1:37">
      <c r="A335" s="6" t="s">
        <v>285</v>
      </c>
      <c r="B335" s="6" t="s">
        <v>312</v>
      </c>
      <c r="C335" s="6" t="s">
        <v>583</v>
      </c>
      <c r="D335" s="6" t="s">
        <v>894</v>
      </c>
      <c r="E335" s="6" t="s">
        <v>929</v>
      </c>
      <c r="F335" s="13">
        <v>52</v>
      </c>
      <c r="G335" s="157"/>
      <c r="H335" s="13"/>
      <c r="I335" s="13"/>
      <c r="J335" s="13">
        <f t="shared" si="122"/>
        <v>0</v>
      </c>
      <c r="K335" s="13">
        <v>4.5999999999999999E-2</v>
      </c>
      <c r="L335" s="13">
        <f t="shared" si="123"/>
        <v>2.3919999999999999</v>
      </c>
      <c r="N335" s="23" t="s">
        <v>9</v>
      </c>
      <c r="O335" s="13">
        <f t="shared" si="124"/>
        <v>0</v>
      </c>
      <c r="Z335" s="13">
        <f t="shared" si="125"/>
        <v>0</v>
      </c>
      <c r="AA335" s="13">
        <f t="shared" si="126"/>
        <v>0</v>
      </c>
      <c r="AB335" s="13">
        <f t="shared" si="127"/>
        <v>0</v>
      </c>
      <c r="AD335" s="24">
        <v>21</v>
      </c>
      <c r="AE335" s="24">
        <f>G335*0</f>
        <v>0</v>
      </c>
      <c r="AF335" s="24">
        <f>G335*(1-0)</f>
        <v>0</v>
      </c>
    </row>
    <row r="336" spans="1:37">
      <c r="A336" s="6" t="s">
        <v>286</v>
      </c>
      <c r="B336" s="6" t="s">
        <v>312</v>
      </c>
      <c r="C336" s="6" t="s">
        <v>583</v>
      </c>
      <c r="D336" s="6" t="s">
        <v>894</v>
      </c>
      <c r="E336" s="6" t="s">
        <v>929</v>
      </c>
      <c r="F336" s="13">
        <v>2.5</v>
      </c>
      <c r="G336" s="157"/>
      <c r="H336" s="13"/>
      <c r="I336" s="13"/>
      <c r="J336" s="13">
        <f t="shared" si="122"/>
        <v>0</v>
      </c>
      <c r="K336" s="13">
        <v>4.5999999999999999E-2</v>
      </c>
      <c r="L336" s="13">
        <f t="shared" si="123"/>
        <v>0.11499999999999999</v>
      </c>
      <c r="N336" s="23" t="s">
        <v>9</v>
      </c>
      <c r="O336" s="13">
        <f t="shared" si="124"/>
        <v>0</v>
      </c>
      <c r="Z336" s="13">
        <f t="shared" si="125"/>
        <v>0</v>
      </c>
      <c r="AA336" s="13">
        <f t="shared" si="126"/>
        <v>0</v>
      </c>
      <c r="AB336" s="13">
        <f t="shared" si="127"/>
        <v>0</v>
      </c>
      <c r="AD336" s="24">
        <v>21</v>
      </c>
      <c r="AE336" s="24">
        <f>G336*0</f>
        <v>0</v>
      </c>
      <c r="AF336" s="24">
        <f>G336*(1-0)</f>
        <v>0</v>
      </c>
    </row>
    <row r="337" spans="1:37">
      <c r="A337" s="4"/>
      <c r="B337" s="4"/>
      <c r="C337" s="114" t="s">
        <v>105</v>
      </c>
      <c r="D337" s="135" t="s">
        <v>895</v>
      </c>
      <c r="E337" s="136"/>
      <c r="F337" s="136"/>
      <c r="G337" s="155"/>
      <c r="H337" s="26"/>
      <c r="I337" s="26"/>
      <c r="J337" s="26"/>
      <c r="K337" s="19"/>
      <c r="L337" s="26">
        <f>SUM(L338:L343)</f>
        <v>0</v>
      </c>
      <c r="P337" s="26">
        <f>IF(Q337="PR",J337,SUM(O338:O343))</f>
        <v>0</v>
      </c>
      <c r="Q337" s="19" t="s">
        <v>957</v>
      </c>
      <c r="R337" s="26">
        <f>IF(Q337="HS",H337,0)</f>
        <v>0</v>
      </c>
      <c r="S337" s="26">
        <f>IF(Q337="HS",I337-P337,0)</f>
        <v>0</v>
      </c>
      <c r="T337" s="26">
        <f>IF(Q337="PS",H337,0)</f>
        <v>0</v>
      </c>
      <c r="U337" s="26">
        <f>IF(Q337="PS",I337-P337,0)</f>
        <v>0</v>
      </c>
      <c r="V337" s="26">
        <f>IF(Q337="MP",H337,0)</f>
        <v>0</v>
      </c>
      <c r="W337" s="26">
        <f>IF(Q337="MP",I337-P337,0)</f>
        <v>0</v>
      </c>
      <c r="X337" s="26">
        <f>IF(Q337="OM",H337,0)</f>
        <v>0</v>
      </c>
      <c r="Y337" s="19" t="s">
        <v>312</v>
      </c>
      <c r="AI337" s="26">
        <f>SUM(Z338:Z343)</f>
        <v>0</v>
      </c>
      <c r="AJ337" s="26">
        <f>SUM(AA338:AA343)</f>
        <v>0</v>
      </c>
      <c r="AK337" s="26">
        <f>SUM(AB338:AB343)</f>
        <v>0</v>
      </c>
    </row>
    <row r="338" spans="1:37">
      <c r="A338" s="6" t="s">
        <v>287</v>
      </c>
      <c r="B338" s="6" t="s">
        <v>312</v>
      </c>
      <c r="C338" s="6" t="s">
        <v>584</v>
      </c>
      <c r="D338" s="6" t="s">
        <v>896</v>
      </c>
      <c r="E338" s="6" t="s">
        <v>930</v>
      </c>
      <c r="F338" s="13">
        <v>26.85</v>
      </c>
      <c r="G338" s="157"/>
      <c r="H338" s="13"/>
      <c r="I338" s="13"/>
      <c r="J338" s="13">
        <f t="shared" ref="J338:J343" si="128">ROUND(F338*G338,2)</f>
        <v>0</v>
      </c>
      <c r="K338" s="13">
        <v>0</v>
      </c>
      <c r="L338" s="13">
        <f t="shared" ref="L338:L343" si="129">F338*K338</f>
        <v>0</v>
      </c>
      <c r="N338" s="23" t="s">
        <v>11</v>
      </c>
      <c r="O338" s="13">
        <f t="shared" ref="O338:O343" si="130">IF(N338="5",I338,0)</f>
        <v>0</v>
      </c>
      <c r="Z338" s="13">
        <f t="shared" ref="Z338:Z343" si="131">IF(AD338=0,J338,0)</f>
        <v>0</v>
      </c>
      <c r="AA338" s="13">
        <f t="shared" ref="AA338:AA343" si="132">IF(AD338=15,J338,0)</f>
        <v>0</v>
      </c>
      <c r="AB338" s="13">
        <f t="shared" ref="AB338:AB343" si="133">IF(AD338=21,J338,0)</f>
        <v>0</v>
      </c>
      <c r="AD338" s="24">
        <v>21</v>
      </c>
      <c r="AE338" s="24">
        <f>G338*0</f>
        <v>0</v>
      </c>
      <c r="AF338" s="24">
        <f>G338*(1-0)</f>
        <v>0</v>
      </c>
    </row>
    <row r="339" spans="1:37">
      <c r="A339" s="6" t="s">
        <v>288</v>
      </c>
      <c r="B339" s="6" t="s">
        <v>312</v>
      </c>
      <c r="C339" s="6" t="s">
        <v>585</v>
      </c>
      <c r="D339" s="6" t="s">
        <v>897</v>
      </c>
      <c r="E339" s="6" t="s">
        <v>930</v>
      </c>
      <c r="F339" s="13">
        <v>268.5</v>
      </c>
      <c r="G339" s="157"/>
      <c r="H339" s="13"/>
      <c r="I339" s="13"/>
      <c r="J339" s="13">
        <f t="shared" si="128"/>
        <v>0</v>
      </c>
      <c r="K339" s="13">
        <v>0</v>
      </c>
      <c r="L339" s="13">
        <f t="shared" si="129"/>
        <v>0</v>
      </c>
      <c r="N339" s="23" t="s">
        <v>11</v>
      </c>
      <c r="O339" s="13">
        <f t="shared" si="130"/>
        <v>0</v>
      </c>
      <c r="Z339" s="13">
        <f t="shared" si="131"/>
        <v>0</v>
      </c>
      <c r="AA339" s="13">
        <f t="shared" si="132"/>
        <v>0</v>
      </c>
      <c r="AB339" s="13">
        <f t="shared" si="133"/>
        <v>0</v>
      </c>
      <c r="AD339" s="24">
        <v>21</v>
      </c>
      <c r="AE339" s="24">
        <f>G339*0</f>
        <v>0</v>
      </c>
      <c r="AF339" s="24">
        <f>G339*(1-0)</f>
        <v>0</v>
      </c>
    </row>
    <row r="340" spans="1:37">
      <c r="A340" s="6" t="s">
        <v>289</v>
      </c>
      <c r="B340" s="6" t="s">
        <v>312</v>
      </c>
      <c r="C340" s="6" t="s">
        <v>488</v>
      </c>
      <c r="D340" s="6" t="s">
        <v>785</v>
      </c>
      <c r="E340" s="6" t="s">
        <v>930</v>
      </c>
      <c r="F340" s="13">
        <v>26.85</v>
      </c>
      <c r="G340" s="157"/>
      <c r="H340" s="13"/>
      <c r="I340" s="13"/>
      <c r="J340" s="13">
        <f t="shared" si="128"/>
        <v>0</v>
      </c>
      <c r="K340" s="13">
        <v>0</v>
      </c>
      <c r="L340" s="13">
        <f t="shared" si="129"/>
        <v>0</v>
      </c>
      <c r="N340" s="23" t="s">
        <v>11</v>
      </c>
      <c r="O340" s="13">
        <f t="shared" si="130"/>
        <v>0</v>
      </c>
      <c r="Z340" s="13">
        <f t="shared" si="131"/>
        <v>0</v>
      </c>
      <c r="AA340" s="13">
        <f t="shared" si="132"/>
        <v>0</v>
      </c>
      <c r="AB340" s="13">
        <f t="shared" si="133"/>
        <v>0</v>
      </c>
      <c r="AD340" s="24">
        <v>21</v>
      </c>
      <c r="AE340" s="24">
        <f>G340*0.00905873567323614</f>
        <v>0</v>
      </c>
      <c r="AF340" s="24">
        <f>G340*(1-0.00905873567323614)</f>
        <v>0</v>
      </c>
    </row>
    <row r="341" spans="1:37">
      <c r="A341" s="6" t="s">
        <v>290</v>
      </c>
      <c r="B341" s="6" t="s">
        <v>312</v>
      </c>
      <c r="C341" s="6" t="s">
        <v>489</v>
      </c>
      <c r="D341" s="6" t="s">
        <v>786</v>
      </c>
      <c r="E341" s="6" t="s">
        <v>930</v>
      </c>
      <c r="F341" s="13">
        <v>80.55</v>
      </c>
      <c r="G341" s="157"/>
      <c r="H341" s="13"/>
      <c r="I341" s="13"/>
      <c r="J341" s="13">
        <f t="shared" si="128"/>
        <v>0</v>
      </c>
      <c r="K341" s="13">
        <v>0</v>
      </c>
      <c r="L341" s="13">
        <f t="shared" si="129"/>
        <v>0</v>
      </c>
      <c r="N341" s="23" t="s">
        <v>11</v>
      </c>
      <c r="O341" s="13">
        <f t="shared" si="130"/>
        <v>0</v>
      </c>
      <c r="Z341" s="13">
        <f t="shared" si="131"/>
        <v>0</v>
      </c>
      <c r="AA341" s="13">
        <f t="shared" si="132"/>
        <v>0</v>
      </c>
      <c r="AB341" s="13">
        <f t="shared" si="133"/>
        <v>0</v>
      </c>
      <c r="AD341" s="24">
        <v>21</v>
      </c>
      <c r="AE341" s="24">
        <f>G341*0</f>
        <v>0</v>
      </c>
      <c r="AF341" s="24">
        <f>G341*(1-0)</f>
        <v>0</v>
      </c>
    </row>
    <row r="342" spans="1:37">
      <c r="A342" s="6" t="s">
        <v>291</v>
      </c>
      <c r="B342" s="6" t="s">
        <v>312</v>
      </c>
      <c r="C342" s="6" t="s">
        <v>586</v>
      </c>
      <c r="D342" s="6" t="s">
        <v>898</v>
      </c>
      <c r="E342" s="6" t="s">
        <v>930</v>
      </c>
      <c r="F342" s="13">
        <v>26.85</v>
      </c>
      <c r="G342" s="157"/>
      <c r="H342" s="13"/>
      <c r="I342" s="13"/>
      <c r="J342" s="13">
        <f t="shared" si="128"/>
        <v>0</v>
      </c>
      <c r="K342" s="13">
        <v>0</v>
      </c>
      <c r="L342" s="13">
        <f t="shared" si="129"/>
        <v>0</v>
      </c>
      <c r="N342" s="23" t="s">
        <v>7</v>
      </c>
      <c r="O342" s="13">
        <f t="shared" si="130"/>
        <v>0</v>
      </c>
      <c r="Z342" s="13">
        <f t="shared" si="131"/>
        <v>0</v>
      </c>
      <c r="AA342" s="13">
        <f t="shared" si="132"/>
        <v>0</v>
      </c>
      <c r="AB342" s="13">
        <f t="shared" si="133"/>
        <v>0</v>
      </c>
      <c r="AD342" s="24">
        <v>21</v>
      </c>
      <c r="AE342" s="24">
        <f>G342*0</f>
        <v>0</v>
      </c>
      <c r="AF342" s="24">
        <f>G342*(1-0)</f>
        <v>0</v>
      </c>
    </row>
    <row r="343" spans="1:37">
      <c r="A343" s="6" t="s">
        <v>292</v>
      </c>
      <c r="B343" s="6" t="s">
        <v>312</v>
      </c>
      <c r="C343" s="6" t="s">
        <v>472</v>
      </c>
      <c r="D343" s="6" t="s">
        <v>767</v>
      </c>
      <c r="E343" s="6" t="s">
        <v>930</v>
      </c>
      <c r="F343" s="13">
        <v>26.72</v>
      </c>
      <c r="G343" s="157"/>
      <c r="H343" s="13"/>
      <c r="I343" s="13"/>
      <c r="J343" s="13">
        <f t="shared" si="128"/>
        <v>0</v>
      </c>
      <c r="K343" s="13">
        <v>0</v>
      </c>
      <c r="L343" s="13">
        <f t="shared" si="129"/>
        <v>0</v>
      </c>
      <c r="N343" s="23" t="s">
        <v>11</v>
      </c>
      <c r="O343" s="13">
        <f t="shared" si="130"/>
        <v>0</v>
      </c>
      <c r="Z343" s="13">
        <f t="shared" si="131"/>
        <v>0</v>
      </c>
      <c r="AA343" s="13">
        <f t="shared" si="132"/>
        <v>0</v>
      </c>
      <c r="AB343" s="13">
        <f t="shared" si="133"/>
        <v>0</v>
      </c>
      <c r="AD343" s="24">
        <v>21</v>
      </c>
      <c r="AE343" s="24">
        <f>G343*0</f>
        <v>0</v>
      </c>
      <c r="AF343" s="24">
        <f>G343*(1-0)</f>
        <v>0</v>
      </c>
    </row>
    <row r="344" spans="1:37">
      <c r="A344" s="4"/>
      <c r="B344" s="4"/>
      <c r="C344" s="114"/>
      <c r="D344" s="135" t="s">
        <v>899</v>
      </c>
      <c r="E344" s="136"/>
      <c r="F344" s="136"/>
      <c r="G344" s="155"/>
      <c r="H344" s="26"/>
      <c r="I344" s="26"/>
      <c r="J344" s="26"/>
      <c r="K344" s="19"/>
      <c r="L344" s="26">
        <f>L345</f>
        <v>0.15110000000000001</v>
      </c>
    </row>
    <row r="345" spans="1:37">
      <c r="A345" s="4"/>
      <c r="B345" s="4"/>
      <c r="C345" s="114" t="s">
        <v>306</v>
      </c>
      <c r="D345" s="135" t="s">
        <v>900</v>
      </c>
      <c r="E345" s="136"/>
      <c r="F345" s="136"/>
      <c r="G345" s="155"/>
      <c r="H345" s="26"/>
      <c r="I345" s="26"/>
      <c r="J345" s="26"/>
      <c r="K345" s="19"/>
      <c r="L345" s="26">
        <f>SUM(L346:L355)</f>
        <v>0.15110000000000001</v>
      </c>
      <c r="P345" s="26">
        <f>IF(Q345="PR",J345,SUM(O346:O355))</f>
        <v>0</v>
      </c>
      <c r="Q345" s="19" t="s">
        <v>956</v>
      </c>
      <c r="R345" s="26">
        <f>IF(Q345="HS",H345,0)</f>
        <v>0</v>
      </c>
      <c r="S345" s="26">
        <f>IF(Q345="HS",I345-P345,0)</f>
        <v>0</v>
      </c>
      <c r="T345" s="26">
        <f>IF(Q345="PS",H345,0)</f>
        <v>0</v>
      </c>
      <c r="U345" s="26">
        <f>IF(Q345="PS",I345-P345,0)</f>
        <v>0</v>
      </c>
      <c r="V345" s="26">
        <f>IF(Q345="MP",H345,0)</f>
        <v>0</v>
      </c>
      <c r="W345" s="26">
        <f>IF(Q345="MP",I345-P345,0)</f>
        <v>0</v>
      </c>
      <c r="X345" s="26">
        <f>IF(Q345="OM",H345,0)</f>
        <v>0</v>
      </c>
      <c r="Y345" s="19" t="s">
        <v>313</v>
      </c>
      <c r="AI345" s="26">
        <f>SUM(Z346:Z355)</f>
        <v>0</v>
      </c>
      <c r="AJ345" s="26">
        <f>SUM(AA346:AA355)</f>
        <v>0</v>
      </c>
      <c r="AK345" s="26">
        <f>SUM(AB346:AB355)</f>
        <v>0</v>
      </c>
    </row>
    <row r="346" spans="1:37">
      <c r="A346" s="6" t="s">
        <v>293</v>
      </c>
      <c r="B346" s="6" t="s">
        <v>313</v>
      </c>
      <c r="C346" s="6" t="s">
        <v>587</v>
      </c>
      <c r="D346" s="6" t="s">
        <v>901</v>
      </c>
      <c r="E346" s="6" t="s">
        <v>921</v>
      </c>
      <c r="F346" s="13">
        <v>2</v>
      </c>
      <c r="G346" s="157"/>
      <c r="H346" s="13"/>
      <c r="I346" s="13"/>
      <c r="J346" s="13">
        <f t="shared" ref="J346:J355" si="134">ROUND(F346*G346,2)</f>
        <v>0</v>
      </c>
      <c r="K346" s="13">
        <v>0</v>
      </c>
      <c r="L346" s="13">
        <f t="shared" ref="L346:L355" si="135">F346*K346</f>
        <v>0</v>
      </c>
      <c r="N346" s="23" t="s">
        <v>7</v>
      </c>
      <c r="O346" s="13">
        <f t="shared" ref="O346:O355" si="136">IF(N346="5",I346,0)</f>
        <v>0</v>
      </c>
      <c r="Z346" s="13">
        <f t="shared" ref="Z346:Z355" si="137">IF(AD346=0,J346,0)</f>
        <v>0</v>
      </c>
      <c r="AA346" s="13">
        <f t="shared" ref="AA346:AA355" si="138">IF(AD346=15,J346,0)</f>
        <v>0</v>
      </c>
      <c r="AB346" s="13">
        <f t="shared" ref="AB346:AB355" si="139">IF(AD346=21,J346,0)</f>
        <v>0</v>
      </c>
      <c r="AD346" s="24">
        <v>21</v>
      </c>
      <c r="AE346" s="24">
        <f>G346*0</f>
        <v>0</v>
      </c>
      <c r="AF346" s="24">
        <f>G346*(1-0)</f>
        <v>0</v>
      </c>
    </row>
    <row r="347" spans="1:37">
      <c r="A347" s="5" t="s">
        <v>294</v>
      </c>
      <c r="B347" s="5" t="s">
        <v>313</v>
      </c>
      <c r="C347" s="5" t="s">
        <v>588</v>
      </c>
      <c r="D347" s="5" t="s">
        <v>902</v>
      </c>
      <c r="E347" s="5" t="s">
        <v>921</v>
      </c>
      <c r="F347" s="12">
        <v>1</v>
      </c>
      <c r="G347" s="156"/>
      <c r="H347" s="12"/>
      <c r="I347" s="12"/>
      <c r="J347" s="12">
        <f t="shared" si="134"/>
        <v>0</v>
      </c>
      <c r="K347" s="12">
        <v>1.55E-2</v>
      </c>
      <c r="L347" s="12">
        <f t="shared" si="135"/>
        <v>1.55E-2</v>
      </c>
      <c r="N347" s="22" t="s">
        <v>950</v>
      </c>
      <c r="O347" s="12">
        <f t="shared" si="136"/>
        <v>0</v>
      </c>
      <c r="Z347" s="12">
        <f t="shared" si="137"/>
        <v>0</v>
      </c>
      <c r="AA347" s="12">
        <f t="shared" si="138"/>
        <v>0</v>
      </c>
      <c r="AB347" s="12">
        <f t="shared" si="139"/>
        <v>0</v>
      </c>
      <c r="AD347" s="24">
        <v>21</v>
      </c>
      <c r="AE347" s="24">
        <f>G347*1</f>
        <v>0</v>
      </c>
      <c r="AF347" s="24">
        <f>G347*(1-1)</f>
        <v>0</v>
      </c>
    </row>
    <row r="348" spans="1:37">
      <c r="A348" s="6" t="s">
        <v>295</v>
      </c>
      <c r="B348" s="6" t="s">
        <v>313</v>
      </c>
      <c r="C348" s="6" t="s">
        <v>589</v>
      </c>
      <c r="D348" s="6" t="s">
        <v>903</v>
      </c>
      <c r="E348" s="6" t="s">
        <v>933</v>
      </c>
      <c r="F348" s="13">
        <v>1</v>
      </c>
      <c r="G348" s="157"/>
      <c r="H348" s="13"/>
      <c r="I348" s="13"/>
      <c r="J348" s="13">
        <f t="shared" si="134"/>
        <v>0</v>
      </c>
      <c r="K348" s="13">
        <v>0</v>
      </c>
      <c r="L348" s="13">
        <f t="shared" si="135"/>
        <v>0</v>
      </c>
      <c r="N348" s="23" t="s">
        <v>7</v>
      </c>
      <c r="O348" s="13">
        <f t="shared" si="136"/>
        <v>0</v>
      </c>
      <c r="Z348" s="13">
        <f t="shared" si="137"/>
        <v>0</v>
      </c>
      <c r="AA348" s="13">
        <f t="shared" si="138"/>
        <v>0</v>
      </c>
      <c r="AB348" s="13">
        <f t="shared" si="139"/>
        <v>0</v>
      </c>
      <c r="AD348" s="24">
        <v>21</v>
      </c>
      <c r="AE348" s="24">
        <f>G348*0</f>
        <v>0</v>
      </c>
      <c r="AF348" s="24">
        <f>G348*(1-0)</f>
        <v>0</v>
      </c>
    </row>
    <row r="349" spans="1:37">
      <c r="A349" s="6" t="s">
        <v>296</v>
      </c>
      <c r="B349" s="6" t="s">
        <v>313</v>
      </c>
      <c r="C349" s="6" t="s">
        <v>590</v>
      </c>
      <c r="D349" s="6" t="s">
        <v>904</v>
      </c>
      <c r="E349" s="6" t="s">
        <v>924</v>
      </c>
      <c r="F349" s="13">
        <v>6</v>
      </c>
      <c r="G349" s="157"/>
      <c r="H349" s="13"/>
      <c r="I349" s="13"/>
      <c r="J349" s="13">
        <f t="shared" si="134"/>
        <v>0</v>
      </c>
      <c r="K349" s="13">
        <v>0</v>
      </c>
      <c r="L349" s="13">
        <f t="shared" si="135"/>
        <v>0</v>
      </c>
      <c r="N349" s="23" t="s">
        <v>7</v>
      </c>
      <c r="O349" s="13">
        <f t="shared" si="136"/>
        <v>0</v>
      </c>
      <c r="Z349" s="13">
        <f t="shared" si="137"/>
        <v>0</v>
      </c>
      <c r="AA349" s="13">
        <f t="shared" si="138"/>
        <v>0</v>
      </c>
      <c r="AB349" s="13">
        <f t="shared" si="139"/>
        <v>0</v>
      </c>
      <c r="AD349" s="24">
        <v>21</v>
      </c>
      <c r="AE349" s="24">
        <f>G349*0</f>
        <v>0</v>
      </c>
      <c r="AF349" s="24">
        <f>G349*(1-0)</f>
        <v>0</v>
      </c>
    </row>
    <row r="350" spans="1:37">
      <c r="A350" s="6" t="s">
        <v>297</v>
      </c>
      <c r="B350" s="6" t="s">
        <v>313</v>
      </c>
      <c r="C350" s="6" t="s">
        <v>591</v>
      </c>
      <c r="D350" s="6" t="s">
        <v>905</v>
      </c>
      <c r="E350" s="6" t="s">
        <v>919</v>
      </c>
      <c r="F350" s="13">
        <v>1</v>
      </c>
      <c r="G350" s="157"/>
      <c r="H350" s="13"/>
      <c r="I350" s="13"/>
      <c r="J350" s="13">
        <f t="shared" si="134"/>
        <v>0</v>
      </c>
      <c r="K350" s="13">
        <v>0</v>
      </c>
      <c r="L350" s="13">
        <f t="shared" si="135"/>
        <v>0</v>
      </c>
      <c r="N350" s="23" t="s">
        <v>7</v>
      </c>
      <c r="O350" s="13">
        <f t="shared" si="136"/>
        <v>0</v>
      </c>
      <c r="Z350" s="13">
        <f t="shared" si="137"/>
        <v>0</v>
      </c>
      <c r="AA350" s="13">
        <f t="shared" si="138"/>
        <v>0</v>
      </c>
      <c r="AB350" s="13">
        <f t="shared" si="139"/>
        <v>0</v>
      </c>
      <c r="AD350" s="24">
        <v>21</v>
      </c>
      <c r="AE350" s="24">
        <f>G350*0</f>
        <v>0</v>
      </c>
      <c r="AF350" s="24">
        <f>G350*(1-0)</f>
        <v>0</v>
      </c>
    </row>
    <row r="351" spans="1:37">
      <c r="A351" s="6" t="s">
        <v>298</v>
      </c>
      <c r="B351" s="6" t="s">
        <v>313</v>
      </c>
      <c r="C351" s="6" t="s">
        <v>592</v>
      </c>
      <c r="D351" s="6" t="s">
        <v>906</v>
      </c>
      <c r="E351" s="6" t="s">
        <v>920</v>
      </c>
      <c r="F351" s="13">
        <v>120</v>
      </c>
      <c r="G351" s="157"/>
      <c r="H351" s="13"/>
      <c r="I351" s="13"/>
      <c r="J351" s="13">
        <f t="shared" si="134"/>
        <v>0</v>
      </c>
      <c r="K351" s="13">
        <v>1.1299999999999999E-3</v>
      </c>
      <c r="L351" s="13">
        <f t="shared" si="135"/>
        <v>0.1356</v>
      </c>
      <c r="N351" s="23" t="s">
        <v>7</v>
      </c>
      <c r="O351" s="13">
        <f t="shared" si="136"/>
        <v>0</v>
      </c>
      <c r="Z351" s="13">
        <f t="shared" si="137"/>
        <v>0</v>
      </c>
      <c r="AA351" s="13">
        <f t="shared" si="138"/>
        <v>0</v>
      </c>
      <c r="AB351" s="13">
        <f t="shared" si="139"/>
        <v>0</v>
      </c>
      <c r="AD351" s="24">
        <v>21</v>
      </c>
      <c r="AE351" s="24">
        <f>G351*0.790375</f>
        <v>0</v>
      </c>
      <c r="AF351" s="24">
        <f>G351*(1-0.790375)</f>
        <v>0</v>
      </c>
    </row>
    <row r="352" spans="1:37">
      <c r="A352" s="6" t="s">
        <v>299</v>
      </c>
      <c r="B352" s="6" t="s">
        <v>313</v>
      </c>
      <c r="C352" s="6" t="s">
        <v>593</v>
      </c>
      <c r="D352" s="6" t="s">
        <v>907</v>
      </c>
      <c r="E352" s="6" t="s">
        <v>919</v>
      </c>
      <c r="F352" s="13">
        <v>1</v>
      </c>
      <c r="G352" s="157"/>
      <c r="H352" s="13"/>
      <c r="I352" s="13"/>
      <c r="J352" s="13">
        <f t="shared" si="134"/>
        <v>0</v>
      </c>
      <c r="K352" s="13">
        <v>0</v>
      </c>
      <c r="L352" s="13">
        <f t="shared" si="135"/>
        <v>0</v>
      </c>
      <c r="N352" s="23" t="s">
        <v>7</v>
      </c>
      <c r="O352" s="13">
        <f t="shared" si="136"/>
        <v>0</v>
      </c>
      <c r="Z352" s="13">
        <f t="shared" si="137"/>
        <v>0</v>
      </c>
      <c r="AA352" s="13">
        <f t="shared" si="138"/>
        <v>0</v>
      </c>
      <c r="AB352" s="13">
        <f t="shared" si="139"/>
        <v>0</v>
      </c>
      <c r="AD352" s="24">
        <v>21</v>
      </c>
      <c r="AE352" s="24">
        <f>G352*0</f>
        <v>0</v>
      </c>
      <c r="AF352" s="24">
        <f>G352*(1-0)</f>
        <v>0</v>
      </c>
    </row>
    <row r="353" spans="1:37">
      <c r="A353" s="6" t="s">
        <v>300</v>
      </c>
      <c r="B353" s="6" t="s">
        <v>313</v>
      </c>
      <c r="C353" s="6" t="s">
        <v>594</v>
      </c>
      <c r="D353" s="6" t="s">
        <v>908</v>
      </c>
      <c r="E353" s="6" t="s">
        <v>925</v>
      </c>
      <c r="F353" s="13">
        <v>1</v>
      </c>
      <c r="G353" s="157"/>
      <c r="H353" s="13"/>
      <c r="I353" s="13"/>
      <c r="J353" s="13">
        <f t="shared" si="134"/>
        <v>0</v>
      </c>
      <c r="K353" s="13">
        <v>0</v>
      </c>
      <c r="L353" s="13">
        <f t="shared" si="135"/>
        <v>0</v>
      </c>
      <c r="N353" s="23" t="s">
        <v>7</v>
      </c>
      <c r="O353" s="13">
        <f t="shared" si="136"/>
        <v>0</v>
      </c>
      <c r="Z353" s="13">
        <f t="shared" si="137"/>
        <v>0</v>
      </c>
      <c r="AA353" s="13">
        <f t="shared" si="138"/>
        <v>0</v>
      </c>
      <c r="AB353" s="13">
        <f t="shared" si="139"/>
        <v>0</v>
      </c>
      <c r="AD353" s="24">
        <v>21</v>
      </c>
      <c r="AE353" s="24">
        <f>G353*0</f>
        <v>0</v>
      </c>
      <c r="AF353" s="24">
        <f>G353*(1-0)</f>
        <v>0</v>
      </c>
    </row>
    <row r="354" spans="1:37">
      <c r="A354" s="6" t="s">
        <v>301</v>
      </c>
      <c r="B354" s="6" t="s">
        <v>313</v>
      </c>
      <c r="C354" s="6" t="s">
        <v>595</v>
      </c>
      <c r="D354" s="6" t="s">
        <v>909</v>
      </c>
      <c r="E354" s="6" t="s">
        <v>933</v>
      </c>
      <c r="F354" s="13">
        <v>1</v>
      </c>
      <c r="G354" s="157"/>
      <c r="H354" s="13"/>
      <c r="I354" s="13"/>
      <c r="J354" s="13">
        <f t="shared" si="134"/>
        <v>0</v>
      </c>
      <c r="K354" s="13">
        <v>0</v>
      </c>
      <c r="L354" s="13">
        <f t="shared" si="135"/>
        <v>0</v>
      </c>
      <c r="N354" s="23" t="s">
        <v>7</v>
      </c>
      <c r="O354" s="13">
        <f t="shared" si="136"/>
        <v>0</v>
      </c>
      <c r="Z354" s="13">
        <f t="shared" si="137"/>
        <v>0</v>
      </c>
      <c r="AA354" s="13">
        <f t="shared" si="138"/>
        <v>0</v>
      </c>
      <c r="AB354" s="13">
        <f t="shared" si="139"/>
        <v>0</v>
      </c>
      <c r="AD354" s="24">
        <v>21</v>
      </c>
      <c r="AE354" s="24">
        <f>G354*0</f>
        <v>0</v>
      </c>
      <c r="AF354" s="24">
        <f>G354*(1-0)</f>
        <v>0</v>
      </c>
    </row>
    <row r="355" spans="1:37">
      <c r="A355" s="6" t="s">
        <v>302</v>
      </c>
      <c r="B355" s="6" t="s">
        <v>313</v>
      </c>
      <c r="C355" s="6" t="s">
        <v>596</v>
      </c>
      <c r="D355" s="6" t="s">
        <v>910</v>
      </c>
      <c r="E355" s="6" t="s">
        <v>919</v>
      </c>
      <c r="F355" s="13">
        <v>1</v>
      </c>
      <c r="G355" s="157"/>
      <c r="H355" s="13"/>
      <c r="I355" s="13"/>
      <c r="J355" s="13">
        <f t="shared" si="134"/>
        <v>0</v>
      </c>
      <c r="K355" s="13">
        <v>0</v>
      </c>
      <c r="L355" s="13">
        <f t="shared" si="135"/>
        <v>0</v>
      </c>
      <c r="N355" s="23" t="s">
        <v>7</v>
      </c>
      <c r="O355" s="13">
        <f t="shared" si="136"/>
        <v>0</v>
      </c>
      <c r="Z355" s="13">
        <f t="shared" si="137"/>
        <v>0</v>
      </c>
      <c r="AA355" s="13">
        <f t="shared" si="138"/>
        <v>0</v>
      </c>
      <c r="AB355" s="13">
        <f t="shared" si="139"/>
        <v>0</v>
      </c>
      <c r="AD355" s="24">
        <v>21</v>
      </c>
      <c r="AE355" s="24">
        <f>G355*0</f>
        <v>0</v>
      </c>
      <c r="AF355" s="24">
        <f>G355*(1-0)</f>
        <v>0</v>
      </c>
    </row>
    <row r="356" spans="1:37">
      <c r="A356" s="4"/>
      <c r="B356" s="4"/>
      <c r="C356" s="114"/>
      <c r="D356" s="135" t="s">
        <v>911</v>
      </c>
      <c r="E356" s="136"/>
      <c r="F356" s="136"/>
      <c r="G356" s="155"/>
      <c r="H356" s="26"/>
      <c r="I356" s="26"/>
      <c r="J356" s="26"/>
      <c r="K356" s="19"/>
      <c r="L356" s="26">
        <f>L357</f>
        <v>0</v>
      </c>
    </row>
    <row r="357" spans="1:37">
      <c r="A357" s="4"/>
      <c r="B357" s="4"/>
      <c r="C357" s="114" t="s">
        <v>597</v>
      </c>
      <c r="D357" s="135" t="s">
        <v>912</v>
      </c>
      <c r="E357" s="136"/>
      <c r="F357" s="136"/>
      <c r="G357" s="155"/>
      <c r="H357" s="26"/>
      <c r="I357" s="26"/>
      <c r="J357" s="26"/>
      <c r="K357" s="19"/>
      <c r="L357" s="26">
        <f>SUM(L358:L358)</f>
        <v>0</v>
      </c>
      <c r="P357" s="26">
        <f>IF(Q357="PR",J357,SUM(O358:O358))</f>
        <v>0</v>
      </c>
      <c r="Q357" s="19" t="s">
        <v>954</v>
      </c>
      <c r="R357" s="26">
        <f>IF(Q357="HS",H357,0)</f>
        <v>0</v>
      </c>
      <c r="S357" s="26">
        <f>IF(Q357="HS",I357-P357,0)</f>
        <v>0</v>
      </c>
      <c r="T357" s="26">
        <f>IF(Q357="PS",H357,0)</f>
        <v>0</v>
      </c>
      <c r="U357" s="26">
        <f>IF(Q357="PS",I357-P357,0)</f>
        <v>0</v>
      </c>
      <c r="V357" s="26">
        <f>IF(Q357="MP",H357,0)</f>
        <v>0</v>
      </c>
      <c r="W357" s="26">
        <f>IF(Q357="MP",I357-P357,0)</f>
        <v>0</v>
      </c>
      <c r="X357" s="26">
        <f>IF(Q357="OM",H357,0)</f>
        <v>0</v>
      </c>
      <c r="Y357" s="19" t="s">
        <v>106</v>
      </c>
      <c r="AI357" s="26">
        <f>SUM(Z358:Z358)</f>
        <v>0</v>
      </c>
      <c r="AJ357" s="26">
        <f>SUM(AA358:AA358)</f>
        <v>0</v>
      </c>
      <c r="AK357" s="26">
        <f>SUM(AB358:AB358)</f>
        <v>0</v>
      </c>
    </row>
    <row r="358" spans="1:37">
      <c r="A358" s="6" t="s">
        <v>303</v>
      </c>
      <c r="B358" s="6" t="s">
        <v>106</v>
      </c>
      <c r="C358" s="6" t="s">
        <v>598</v>
      </c>
      <c r="D358" s="6" t="s">
        <v>913</v>
      </c>
      <c r="E358" s="6" t="s">
        <v>919</v>
      </c>
      <c r="F358" s="13">
        <v>1</v>
      </c>
      <c r="G358" s="157"/>
      <c r="H358" s="13"/>
      <c r="I358" s="13"/>
      <c r="J358" s="13">
        <f>ROUND(F358*G358,2)</f>
        <v>0</v>
      </c>
      <c r="K358" s="13">
        <v>0</v>
      </c>
      <c r="L358" s="13">
        <f>F358*K358</f>
        <v>0</v>
      </c>
      <c r="N358" s="23" t="s">
        <v>8</v>
      </c>
      <c r="O358" s="13">
        <f>IF(N358="5",I358,0)</f>
        <v>0</v>
      </c>
      <c r="Z358" s="13">
        <f>IF(AD358=0,J358,0)</f>
        <v>0</v>
      </c>
      <c r="AA358" s="13">
        <f>IF(AD358=15,J358,0)</f>
        <v>0</v>
      </c>
      <c r="AB358" s="13">
        <f>IF(AD358=21,J358,0)</f>
        <v>0</v>
      </c>
      <c r="AD358" s="24">
        <v>21</v>
      </c>
      <c r="AE358" s="24">
        <f>G358*0</f>
        <v>0</v>
      </c>
      <c r="AF358" s="24">
        <f>G358*(1-0)</f>
        <v>0</v>
      </c>
    </row>
    <row r="359" spans="1:37">
      <c r="A359" s="4"/>
      <c r="B359" s="4"/>
      <c r="C359" s="114"/>
      <c r="D359" s="135" t="s">
        <v>1125</v>
      </c>
      <c r="E359" s="136"/>
      <c r="F359" s="136"/>
      <c r="G359" s="155"/>
      <c r="H359" s="26"/>
      <c r="I359" s="26"/>
      <c r="J359" s="26"/>
      <c r="K359" s="19"/>
      <c r="L359" s="26">
        <f>L360</f>
        <v>0</v>
      </c>
    </row>
    <row r="360" spans="1:37">
      <c r="A360" s="4"/>
      <c r="B360" s="4"/>
      <c r="C360" s="114" t="s">
        <v>473</v>
      </c>
      <c r="D360" s="135" t="s">
        <v>768</v>
      </c>
      <c r="E360" s="136"/>
      <c r="F360" s="136"/>
      <c r="G360" s="155"/>
      <c r="H360" s="26"/>
      <c r="I360" s="26"/>
      <c r="J360" s="26"/>
      <c r="K360" s="19"/>
      <c r="L360" s="26">
        <f>SUM(L361:L361)</f>
        <v>0</v>
      </c>
      <c r="P360" s="26">
        <f>IF(Q360="PR",J360,SUM(O361:O361))</f>
        <v>0</v>
      </c>
      <c r="Q360" s="19" t="s">
        <v>954</v>
      </c>
      <c r="R360" s="26">
        <f>IF(Q360="HS",H360,0)</f>
        <v>0</v>
      </c>
      <c r="S360" s="26">
        <f>IF(Q360="HS",I360-P360,0)</f>
        <v>0</v>
      </c>
      <c r="T360" s="26">
        <f>IF(Q360="PS",H360,0)</f>
        <v>0</v>
      </c>
      <c r="U360" s="26">
        <f>IF(Q360="PS",I360-P360,0)</f>
        <v>0</v>
      </c>
      <c r="V360" s="26">
        <f>IF(Q360="MP",H360,0)</f>
        <v>0</v>
      </c>
      <c r="W360" s="26">
        <f>IF(Q360="MP",I360-P360,0)</f>
        <v>0</v>
      </c>
      <c r="X360" s="26">
        <f>IF(Q360="OM",H360,0)</f>
        <v>0</v>
      </c>
      <c r="Y360" s="19"/>
      <c r="AI360" s="26">
        <f>SUM(Z361:Z361)</f>
        <v>0</v>
      </c>
      <c r="AJ360" s="26">
        <f>SUM(AA361:AA361)</f>
        <v>0</v>
      </c>
      <c r="AK360" s="26">
        <f>SUM(AB361:AB361)</f>
        <v>0</v>
      </c>
    </row>
    <row r="361" spans="1:37">
      <c r="A361" s="7" t="s">
        <v>304</v>
      </c>
      <c r="B361" s="7"/>
      <c r="C361" s="7" t="s">
        <v>474</v>
      </c>
      <c r="D361" s="7" t="s">
        <v>769</v>
      </c>
      <c r="E361" s="7" t="s">
        <v>931</v>
      </c>
      <c r="F361" s="14">
        <v>85987.33</v>
      </c>
      <c r="G361" s="158"/>
      <c r="H361" s="14"/>
      <c r="I361" s="14"/>
      <c r="J361" s="14">
        <f>ROUND(F361*G361,2)</f>
        <v>0</v>
      </c>
      <c r="K361" s="14">
        <v>0</v>
      </c>
      <c r="L361" s="14">
        <f>F361*K361</f>
        <v>0</v>
      </c>
      <c r="N361" s="23" t="s">
        <v>8</v>
      </c>
      <c r="O361" s="13">
        <f>IF(N361="5",I361,0)</f>
        <v>0</v>
      </c>
      <c r="Z361" s="13">
        <f>IF(AD361=0,J361,0)</f>
        <v>0</v>
      </c>
      <c r="AA361" s="13">
        <f>IF(AD361=15,J361,0)</f>
        <v>0</v>
      </c>
      <c r="AB361" s="13">
        <f>IF(AD361=21,J361,0)</f>
        <v>0</v>
      </c>
      <c r="AD361" s="24">
        <v>21</v>
      </c>
      <c r="AE361" s="24">
        <f>G361*0</f>
        <v>0</v>
      </c>
      <c r="AF361" s="24">
        <f>G361*(1-0)</f>
        <v>0</v>
      </c>
    </row>
    <row r="362" spans="1:37">
      <c r="A362" s="8"/>
      <c r="B362" s="8"/>
      <c r="C362" s="8"/>
      <c r="D362" s="8"/>
      <c r="E362" s="8"/>
      <c r="F362" s="8"/>
      <c r="G362" s="159"/>
      <c r="H362" s="119" t="s">
        <v>939</v>
      </c>
      <c r="I362" s="137"/>
      <c r="J362" s="27">
        <f>SUM(J14:J361)</f>
        <v>0</v>
      </c>
      <c r="K362" s="8"/>
      <c r="L362" s="8"/>
      <c r="Z362" s="28">
        <f>SUM(Z13:Z361)</f>
        <v>0</v>
      </c>
      <c r="AA362" s="28">
        <f>SUM(AA13:AA361)</f>
        <v>0</v>
      </c>
      <c r="AB362" s="28">
        <f>SUM(AB13:AB361)</f>
        <v>0</v>
      </c>
    </row>
  </sheetData>
  <sheetProtection password="CA38" sheet="1" objects="1" scenarios="1"/>
  <autoFilter ref="A11:AK362"/>
  <pageMargins left="0.78740157480314965" right="0.78740157480314965" top="0.98425196850393704" bottom="0.98425196850393704" header="0.51181102362204722" footer="0.51181102362204722"/>
  <pageSetup paperSize="9" scale="76" fitToHeight="12" orientation="landscape" r:id="rId1"/>
  <headerFooter>
    <oddFooter>&amp;R&amp;P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view="pageBreakPreview" zoomScale="60" zoomScaleNormal="100" workbookViewId="0">
      <selection activeCell="D27" sqref="D27"/>
    </sheetView>
  </sheetViews>
  <sheetFormatPr defaultRowHeight="15"/>
  <cols>
    <col min="1" max="1" width="14.42578125" style="76" customWidth="1"/>
    <col min="2" max="2" width="9.140625" style="77"/>
    <col min="3" max="3" width="75.140625" style="76" customWidth="1"/>
    <col min="4" max="4" width="23.7109375" style="76" customWidth="1"/>
    <col min="5" max="5" width="18.5703125" style="107" customWidth="1"/>
    <col min="6" max="6" width="17.5703125" style="76" customWidth="1"/>
    <col min="7" max="16384" width="9.140625" style="76"/>
  </cols>
  <sheetData>
    <row r="1" spans="1:6" ht="29.25" thickBot="1">
      <c r="A1" s="113"/>
      <c r="B1" s="112"/>
      <c r="C1" s="111" t="s">
        <v>1124</v>
      </c>
      <c r="D1" s="110"/>
      <c r="E1" s="161"/>
      <c r="F1" s="109"/>
    </row>
    <row r="2" spans="1:6" s="107" customFormat="1">
      <c r="A2" s="108" t="s">
        <v>1103</v>
      </c>
      <c r="B2" s="108" t="s">
        <v>934</v>
      </c>
      <c r="C2" s="108" t="s">
        <v>1102</v>
      </c>
      <c r="D2" s="108" t="s">
        <v>1101</v>
      </c>
      <c r="E2" s="108" t="s">
        <v>1100</v>
      </c>
      <c r="F2" s="108" t="s">
        <v>1099</v>
      </c>
    </row>
    <row r="3" spans="1:6">
      <c r="A3" s="104"/>
      <c r="B3" s="106"/>
      <c r="C3" s="105" t="s">
        <v>1098</v>
      </c>
      <c r="D3" s="104"/>
      <c r="E3" s="162"/>
      <c r="F3" s="104"/>
    </row>
    <row r="4" spans="1:6">
      <c r="A4" s="85" t="s">
        <v>1097</v>
      </c>
      <c r="B4" s="91">
        <v>1</v>
      </c>
      <c r="C4" s="33" t="s">
        <v>1096</v>
      </c>
      <c r="D4" s="29" t="s">
        <v>1095</v>
      </c>
      <c r="E4" s="163"/>
      <c r="F4" s="85">
        <f t="shared" ref="F4:F11" si="0">B4*E4</f>
        <v>0</v>
      </c>
    </row>
    <row r="5" spans="1:6">
      <c r="A5" s="85" t="s">
        <v>1094</v>
      </c>
      <c r="B5" s="91">
        <v>6</v>
      </c>
      <c r="C5" s="33" t="s">
        <v>1093</v>
      </c>
      <c r="D5" s="29" t="s">
        <v>1092</v>
      </c>
      <c r="E5" s="163"/>
      <c r="F5" s="85">
        <f t="shared" si="0"/>
        <v>0</v>
      </c>
    </row>
    <row r="6" spans="1:6">
      <c r="A6" s="85" t="s">
        <v>1091</v>
      </c>
      <c r="B6" s="91">
        <v>1</v>
      </c>
      <c r="C6" s="32" t="s">
        <v>1090</v>
      </c>
      <c r="D6" s="38" t="s">
        <v>1089</v>
      </c>
      <c r="E6" s="163"/>
      <c r="F6" s="85">
        <f t="shared" si="0"/>
        <v>0</v>
      </c>
    </row>
    <row r="7" spans="1:6">
      <c r="A7" s="85" t="s">
        <v>1088</v>
      </c>
      <c r="B7" s="91">
        <v>2</v>
      </c>
      <c r="C7" s="33" t="s">
        <v>1087</v>
      </c>
      <c r="D7" s="29" t="s">
        <v>1084</v>
      </c>
      <c r="E7" s="163"/>
      <c r="F7" s="85">
        <f t="shared" si="0"/>
        <v>0</v>
      </c>
    </row>
    <row r="8" spans="1:6">
      <c r="A8" s="85" t="s">
        <v>1086</v>
      </c>
      <c r="B8" s="91">
        <v>2</v>
      </c>
      <c r="C8" s="33" t="s">
        <v>1085</v>
      </c>
      <c r="D8" s="29" t="s">
        <v>1084</v>
      </c>
      <c r="E8" s="163"/>
      <c r="F8" s="85">
        <f t="shared" si="0"/>
        <v>0</v>
      </c>
    </row>
    <row r="9" spans="1:6">
      <c r="A9" s="85" t="s">
        <v>1083</v>
      </c>
      <c r="B9" s="91">
        <v>2</v>
      </c>
      <c r="C9" s="33" t="s">
        <v>1082</v>
      </c>
      <c r="D9" s="29" t="s">
        <v>1079</v>
      </c>
      <c r="E9" s="163"/>
      <c r="F9" s="85">
        <f t="shared" si="0"/>
        <v>0</v>
      </c>
    </row>
    <row r="10" spans="1:6">
      <c r="A10" s="85" t="s">
        <v>1081</v>
      </c>
      <c r="B10" s="91">
        <v>3</v>
      </c>
      <c r="C10" s="33" t="s">
        <v>1080</v>
      </c>
      <c r="D10" s="29" t="s">
        <v>1079</v>
      </c>
      <c r="E10" s="163"/>
      <c r="F10" s="85">
        <f t="shared" si="0"/>
        <v>0</v>
      </c>
    </row>
    <row r="11" spans="1:6">
      <c r="A11" s="85" t="s">
        <v>1078</v>
      </c>
      <c r="B11" s="91">
        <v>1</v>
      </c>
      <c r="C11" s="33" t="s">
        <v>1077</v>
      </c>
      <c r="D11" s="29" t="s">
        <v>1076</v>
      </c>
      <c r="E11" s="163"/>
      <c r="F11" s="85">
        <f t="shared" si="0"/>
        <v>0</v>
      </c>
    </row>
    <row r="12" spans="1:6" ht="25.5">
      <c r="A12" s="103" t="s">
        <v>1075</v>
      </c>
      <c r="B12" s="102">
        <v>1</v>
      </c>
      <c r="C12" s="37" t="s">
        <v>1074</v>
      </c>
      <c r="D12" s="95"/>
      <c r="E12" s="163"/>
      <c r="F12" s="85"/>
    </row>
    <row r="13" spans="1:6" ht="25.5">
      <c r="A13" s="103" t="s">
        <v>1073</v>
      </c>
      <c r="B13" s="102">
        <v>1</v>
      </c>
      <c r="C13" s="37" t="s">
        <v>1072</v>
      </c>
      <c r="D13" s="95"/>
      <c r="E13" s="163"/>
      <c r="F13" s="85"/>
    </row>
    <row r="14" spans="1:6">
      <c r="A14" s="103" t="s">
        <v>1071</v>
      </c>
      <c r="B14" s="102">
        <v>1</v>
      </c>
      <c r="C14" s="36" t="s">
        <v>1070</v>
      </c>
      <c r="D14" s="101" t="s">
        <v>1069</v>
      </c>
      <c r="E14" s="163"/>
      <c r="F14" s="85"/>
    </row>
    <row r="15" spans="1:6">
      <c r="A15" s="103" t="s">
        <v>1068</v>
      </c>
      <c r="B15" s="102">
        <v>1</v>
      </c>
      <c r="C15" s="36" t="s">
        <v>1067</v>
      </c>
      <c r="D15" s="101" t="s">
        <v>1066</v>
      </c>
      <c r="E15" s="163"/>
      <c r="F15" s="85"/>
    </row>
    <row r="16" spans="1:6" ht="25.5">
      <c r="A16" s="103" t="s">
        <v>1065</v>
      </c>
      <c r="B16" s="102">
        <v>1</v>
      </c>
      <c r="C16" s="36" t="s">
        <v>1064</v>
      </c>
      <c r="D16" s="101"/>
      <c r="E16" s="163"/>
      <c r="F16" s="85"/>
    </row>
    <row r="17" spans="1:6">
      <c r="A17" s="85" t="s">
        <v>1063</v>
      </c>
      <c r="B17" s="91">
        <v>1</v>
      </c>
      <c r="C17" s="36" t="s">
        <v>1062</v>
      </c>
      <c r="D17" s="101"/>
      <c r="E17" s="163"/>
      <c r="F17" s="85"/>
    </row>
    <row r="18" spans="1:6">
      <c r="A18" s="85" t="s">
        <v>1061</v>
      </c>
      <c r="B18" s="91">
        <v>1</v>
      </c>
      <c r="C18" s="36" t="s">
        <v>1060</v>
      </c>
      <c r="D18" s="101" t="s">
        <v>1059</v>
      </c>
      <c r="E18" s="163"/>
      <c r="F18" s="85"/>
    </row>
    <row r="19" spans="1:6">
      <c r="A19" s="85" t="s">
        <v>1058</v>
      </c>
      <c r="B19" s="91">
        <v>1</v>
      </c>
      <c r="C19" s="36" t="s">
        <v>1056</v>
      </c>
      <c r="D19" s="101" t="s">
        <v>1055</v>
      </c>
      <c r="E19" s="163"/>
      <c r="F19" s="85"/>
    </row>
    <row r="20" spans="1:6">
      <c r="A20" s="85" t="s">
        <v>1057</v>
      </c>
      <c r="B20" s="91">
        <v>1</v>
      </c>
      <c r="C20" s="36" t="s">
        <v>1056</v>
      </c>
      <c r="D20" s="101" t="s">
        <v>1055</v>
      </c>
      <c r="E20" s="163"/>
      <c r="F20" s="85"/>
    </row>
    <row r="21" spans="1:6">
      <c r="A21" s="85" t="s">
        <v>1054</v>
      </c>
      <c r="B21" s="91">
        <v>1</v>
      </c>
      <c r="C21" s="33" t="s">
        <v>1053</v>
      </c>
      <c r="D21" s="29"/>
      <c r="E21" s="163"/>
      <c r="F21" s="85">
        <f>B21*E21</f>
        <v>0</v>
      </c>
    </row>
    <row r="22" spans="1:6">
      <c r="A22" s="85" t="s">
        <v>1052</v>
      </c>
      <c r="B22" s="91">
        <v>1</v>
      </c>
      <c r="C22" s="33" t="s">
        <v>1051</v>
      </c>
      <c r="D22" s="29"/>
      <c r="E22" s="163"/>
      <c r="F22" s="85">
        <f>B22*E22</f>
        <v>0</v>
      </c>
    </row>
    <row r="23" spans="1:6">
      <c r="A23" s="85"/>
      <c r="B23" s="91"/>
      <c r="C23" s="35" t="s">
        <v>1050</v>
      </c>
      <c r="D23" s="29"/>
      <c r="E23" s="163"/>
      <c r="F23" s="85"/>
    </row>
    <row r="24" spans="1:6">
      <c r="A24" s="85"/>
      <c r="B24" s="91"/>
      <c r="C24" s="33"/>
      <c r="D24" s="29"/>
      <c r="E24" s="163"/>
      <c r="F24" s="85"/>
    </row>
    <row r="25" spans="1:6">
      <c r="A25" s="85" t="s">
        <v>1048</v>
      </c>
      <c r="B25" s="91">
        <v>12</v>
      </c>
      <c r="C25" s="33" t="s">
        <v>1049</v>
      </c>
      <c r="D25" s="29"/>
      <c r="E25" s="163"/>
      <c r="F25" s="85">
        <f>B25*E25</f>
        <v>0</v>
      </c>
    </row>
    <row r="26" spans="1:6">
      <c r="A26" s="85" t="s">
        <v>1048</v>
      </c>
      <c r="B26" s="91">
        <v>2</v>
      </c>
      <c r="C26" s="33" t="s">
        <v>1047</v>
      </c>
      <c r="D26" s="29"/>
      <c r="E26" s="163"/>
      <c r="F26" s="85">
        <f>B26*E26</f>
        <v>0</v>
      </c>
    </row>
    <row r="27" spans="1:6">
      <c r="A27" s="85"/>
      <c r="B27" s="91">
        <v>2</v>
      </c>
      <c r="C27" s="33" t="s">
        <v>1046</v>
      </c>
      <c r="D27" s="29"/>
      <c r="E27" s="163"/>
      <c r="F27" s="85">
        <f>B27*E27</f>
        <v>0</v>
      </c>
    </row>
    <row r="28" spans="1:6">
      <c r="A28" s="85"/>
      <c r="B28" s="91"/>
      <c r="C28" s="33"/>
      <c r="D28" s="29"/>
      <c r="E28" s="163"/>
      <c r="F28" s="85"/>
    </row>
    <row r="29" spans="1:6">
      <c r="A29" s="85"/>
      <c r="B29" s="91"/>
      <c r="C29" s="100"/>
      <c r="D29" s="85"/>
      <c r="E29" s="163"/>
      <c r="F29" s="85"/>
    </row>
    <row r="30" spans="1:6" ht="15.75">
      <c r="A30" s="85"/>
      <c r="B30" s="91"/>
      <c r="C30" s="34" t="s">
        <v>1045</v>
      </c>
      <c r="D30" s="85"/>
      <c r="E30" s="163"/>
      <c r="F30" s="85"/>
    </row>
    <row r="31" spans="1:6">
      <c r="A31" s="98" t="s">
        <v>1044</v>
      </c>
      <c r="B31" s="97">
        <v>1</v>
      </c>
      <c r="C31" s="98" t="s">
        <v>1043</v>
      </c>
      <c r="D31" s="85"/>
      <c r="E31" s="163"/>
      <c r="F31" s="85">
        <f>B31*E31</f>
        <v>0</v>
      </c>
    </row>
    <row r="32" spans="1:6">
      <c r="A32" s="98"/>
      <c r="B32" s="97"/>
      <c r="C32" s="98" t="s">
        <v>1042</v>
      </c>
      <c r="D32" s="85"/>
      <c r="E32" s="163"/>
      <c r="F32" s="85"/>
    </row>
    <row r="33" spans="1:6">
      <c r="A33" s="98"/>
      <c r="B33" s="97"/>
      <c r="C33" s="99" t="s">
        <v>1041</v>
      </c>
      <c r="D33" s="85"/>
      <c r="E33" s="163"/>
      <c r="F33" s="85"/>
    </row>
    <row r="34" spans="1:6">
      <c r="A34" s="98"/>
      <c r="B34" s="97"/>
      <c r="C34" s="98" t="s">
        <v>1040</v>
      </c>
      <c r="D34" s="85"/>
      <c r="E34" s="163"/>
      <c r="F34" s="85"/>
    </row>
    <row r="35" spans="1:6">
      <c r="A35" s="98" t="s">
        <v>1039</v>
      </c>
      <c r="B35" s="97">
        <v>1</v>
      </c>
      <c r="C35" s="33" t="s">
        <v>1038</v>
      </c>
      <c r="D35" s="85"/>
      <c r="E35" s="163"/>
      <c r="F35" s="85"/>
    </row>
    <row r="36" spans="1:6">
      <c r="A36" s="98" t="s">
        <v>1037</v>
      </c>
      <c r="B36" s="97">
        <v>1</v>
      </c>
      <c r="C36" s="33" t="s">
        <v>1036</v>
      </c>
      <c r="D36" s="85"/>
      <c r="E36" s="163"/>
      <c r="F36" s="85"/>
    </row>
    <row r="37" spans="1:6">
      <c r="A37" s="98" t="s">
        <v>1035</v>
      </c>
      <c r="B37" s="97">
        <v>1</v>
      </c>
      <c r="C37" s="32" t="s">
        <v>1034</v>
      </c>
      <c r="D37" s="85"/>
      <c r="E37" s="163"/>
      <c r="F37" s="85"/>
    </row>
    <row r="38" spans="1:6">
      <c r="A38" s="98" t="s">
        <v>1033</v>
      </c>
      <c r="B38" s="97">
        <v>1</v>
      </c>
      <c r="C38" s="33" t="s">
        <v>1032</v>
      </c>
      <c r="D38" s="85"/>
      <c r="E38" s="163"/>
      <c r="F38" s="85"/>
    </row>
    <row r="39" spans="1:6">
      <c r="A39" s="98"/>
      <c r="B39" s="97">
        <v>1</v>
      </c>
      <c r="C39" s="32" t="s">
        <v>1031</v>
      </c>
      <c r="D39" s="85"/>
      <c r="E39" s="163"/>
      <c r="F39" s="85"/>
    </row>
    <row r="40" spans="1:6">
      <c r="A40" s="98" t="s">
        <v>1030</v>
      </c>
      <c r="B40" s="97">
        <v>1</v>
      </c>
      <c r="C40" s="32" t="s">
        <v>1029</v>
      </c>
      <c r="D40" s="85"/>
      <c r="E40" s="163"/>
      <c r="F40" s="85"/>
    </row>
    <row r="41" spans="1:6">
      <c r="A41" s="98" t="s">
        <v>1028</v>
      </c>
      <c r="B41" s="97">
        <v>1</v>
      </c>
      <c r="C41" s="32" t="s">
        <v>1027</v>
      </c>
      <c r="D41" s="85"/>
      <c r="E41" s="163"/>
      <c r="F41" s="85"/>
    </row>
    <row r="42" spans="1:6">
      <c r="A42" s="98"/>
      <c r="B42" s="97">
        <v>1</v>
      </c>
      <c r="C42" s="32" t="s">
        <v>1026</v>
      </c>
      <c r="D42" s="85"/>
      <c r="E42" s="163"/>
      <c r="F42" s="85"/>
    </row>
    <row r="43" spans="1:6">
      <c r="A43" s="98" t="s">
        <v>1025</v>
      </c>
      <c r="B43" s="97">
        <v>1</v>
      </c>
      <c r="C43" s="32" t="s">
        <v>1005</v>
      </c>
      <c r="D43" s="85"/>
      <c r="E43" s="163"/>
      <c r="F43" s="85"/>
    </row>
    <row r="44" spans="1:6">
      <c r="A44" s="98" t="s">
        <v>1024</v>
      </c>
      <c r="B44" s="97">
        <v>1</v>
      </c>
      <c r="C44" s="32" t="s">
        <v>1023</v>
      </c>
      <c r="D44" s="85"/>
      <c r="E44" s="163"/>
      <c r="F44" s="85"/>
    </row>
    <row r="45" spans="1:6">
      <c r="A45" s="98" t="s">
        <v>1022</v>
      </c>
      <c r="B45" s="97">
        <v>1</v>
      </c>
      <c r="C45" s="32" t="s">
        <v>1021</v>
      </c>
      <c r="D45" s="85"/>
      <c r="E45" s="163"/>
      <c r="F45" s="85"/>
    </row>
    <row r="46" spans="1:6">
      <c r="A46" s="98" t="s">
        <v>1020</v>
      </c>
      <c r="B46" s="97">
        <v>2</v>
      </c>
      <c r="C46" s="32" t="s">
        <v>1019</v>
      </c>
      <c r="D46" s="85"/>
      <c r="E46" s="163"/>
      <c r="F46" s="85"/>
    </row>
    <row r="47" spans="1:6">
      <c r="A47" s="98"/>
      <c r="B47" s="97">
        <v>1</v>
      </c>
      <c r="C47" s="32" t="s">
        <v>1018</v>
      </c>
      <c r="D47" s="85"/>
      <c r="E47" s="163"/>
      <c r="F47" s="85"/>
    </row>
    <row r="48" spans="1:6">
      <c r="A48" s="98" t="s">
        <v>1017</v>
      </c>
      <c r="B48" s="97">
        <v>1</v>
      </c>
      <c r="C48" s="33" t="s">
        <v>1016</v>
      </c>
      <c r="D48" s="85"/>
      <c r="E48" s="163"/>
      <c r="F48" s="85"/>
    </row>
    <row r="49" spans="1:6">
      <c r="A49" s="98" t="s">
        <v>1015</v>
      </c>
      <c r="B49" s="97">
        <v>1</v>
      </c>
      <c r="C49" s="32" t="s">
        <v>1014</v>
      </c>
      <c r="D49" s="85"/>
      <c r="E49" s="163"/>
      <c r="F49" s="85"/>
    </row>
    <row r="50" spans="1:6">
      <c r="A50" s="98" t="s">
        <v>1013</v>
      </c>
      <c r="B50" s="97">
        <v>1</v>
      </c>
      <c r="C50" s="32" t="s">
        <v>1012</v>
      </c>
      <c r="D50" s="85"/>
      <c r="E50" s="163"/>
      <c r="F50" s="85"/>
    </row>
    <row r="51" spans="1:6">
      <c r="A51" s="98"/>
      <c r="B51" s="97">
        <v>5</v>
      </c>
      <c r="C51" s="32" t="s">
        <v>1011</v>
      </c>
      <c r="D51" s="85"/>
      <c r="E51" s="163"/>
      <c r="F51" s="85"/>
    </row>
    <row r="52" spans="1:6">
      <c r="A52" s="98" t="s">
        <v>1010</v>
      </c>
      <c r="B52" s="97">
        <v>3</v>
      </c>
      <c r="C52" s="32" t="s">
        <v>1009</v>
      </c>
      <c r="D52" s="85"/>
      <c r="E52" s="163"/>
      <c r="F52" s="85"/>
    </row>
    <row r="53" spans="1:6">
      <c r="A53" s="98" t="s">
        <v>1008</v>
      </c>
      <c r="B53" s="97">
        <v>1</v>
      </c>
      <c r="C53" s="32" t="s">
        <v>1007</v>
      </c>
      <c r="D53" s="85"/>
      <c r="E53" s="163"/>
      <c r="F53" s="85"/>
    </row>
    <row r="54" spans="1:6">
      <c r="A54" s="98" t="s">
        <v>1006</v>
      </c>
      <c r="B54" s="97">
        <v>3</v>
      </c>
      <c r="C54" s="32" t="s">
        <v>1005</v>
      </c>
      <c r="D54" s="85"/>
      <c r="E54" s="163"/>
      <c r="F54" s="85"/>
    </row>
    <row r="55" spans="1:6">
      <c r="A55" s="98" t="s">
        <v>1004</v>
      </c>
      <c r="B55" s="97">
        <v>2</v>
      </c>
      <c r="C55" s="32" t="s">
        <v>1003</v>
      </c>
      <c r="D55" s="85"/>
      <c r="E55" s="163"/>
      <c r="F55" s="85"/>
    </row>
    <row r="56" spans="1:6">
      <c r="A56" s="98" t="s">
        <v>1002</v>
      </c>
      <c r="B56" s="97">
        <v>1</v>
      </c>
      <c r="C56" s="32" t="s">
        <v>1001</v>
      </c>
      <c r="D56" s="85"/>
      <c r="E56" s="163"/>
      <c r="F56" s="85"/>
    </row>
    <row r="57" spans="1:6">
      <c r="A57" s="98" t="s">
        <v>1000</v>
      </c>
      <c r="B57" s="97">
        <v>1</v>
      </c>
      <c r="C57" s="32" t="s">
        <v>999</v>
      </c>
      <c r="D57" s="85"/>
      <c r="E57" s="163"/>
      <c r="F57" s="85"/>
    </row>
    <row r="58" spans="1:6">
      <c r="A58" s="98"/>
      <c r="B58" s="97"/>
      <c r="C58" s="32"/>
      <c r="D58" s="85"/>
      <c r="E58" s="163"/>
      <c r="F58" s="85"/>
    </row>
    <row r="59" spans="1:6">
      <c r="A59" s="98"/>
      <c r="B59" s="97"/>
      <c r="C59" s="32"/>
      <c r="D59" s="85"/>
      <c r="E59" s="163"/>
      <c r="F59" s="85"/>
    </row>
    <row r="60" spans="1:6">
      <c r="A60" s="98"/>
      <c r="B60" s="97"/>
      <c r="C60" s="31" t="s">
        <v>998</v>
      </c>
      <c r="D60" s="85"/>
      <c r="E60" s="163"/>
      <c r="F60" s="85"/>
    </row>
    <row r="61" spans="1:6">
      <c r="A61" s="85" t="s">
        <v>997</v>
      </c>
      <c r="B61" s="97">
        <v>1</v>
      </c>
      <c r="C61" s="96" t="s">
        <v>996</v>
      </c>
      <c r="D61" s="95" t="s">
        <v>995</v>
      </c>
      <c r="E61" s="163"/>
      <c r="F61" s="85">
        <f>B61*E61</f>
        <v>0</v>
      </c>
    </row>
    <row r="62" spans="1:6">
      <c r="A62" s="85"/>
      <c r="B62" s="97">
        <v>1</v>
      </c>
      <c r="C62" s="96" t="s">
        <v>994</v>
      </c>
      <c r="D62" s="95" t="s">
        <v>993</v>
      </c>
      <c r="E62" s="163"/>
      <c r="F62" s="85">
        <f>B62*E62</f>
        <v>0</v>
      </c>
    </row>
    <row r="63" spans="1:6">
      <c r="A63" s="85"/>
      <c r="B63" s="97">
        <v>1</v>
      </c>
      <c r="C63" s="96" t="s">
        <v>992</v>
      </c>
      <c r="D63" s="95" t="s">
        <v>991</v>
      </c>
      <c r="E63" s="163"/>
      <c r="F63" s="85">
        <f>B63*E63</f>
        <v>0</v>
      </c>
    </row>
    <row r="64" spans="1:6">
      <c r="A64" s="85"/>
      <c r="B64" s="97">
        <v>1</v>
      </c>
      <c r="C64" s="96" t="s">
        <v>990</v>
      </c>
      <c r="D64" s="95" t="s">
        <v>989</v>
      </c>
      <c r="E64" s="163"/>
      <c r="F64" s="85">
        <f>B64*E64</f>
        <v>0</v>
      </c>
    </row>
    <row r="65" spans="1:6">
      <c r="A65" s="98"/>
      <c r="B65" s="97">
        <v>1</v>
      </c>
      <c r="C65" s="96" t="s">
        <v>988</v>
      </c>
      <c r="D65" s="95" t="s">
        <v>987</v>
      </c>
      <c r="E65" s="163"/>
      <c r="F65" s="85">
        <f>B65*E65</f>
        <v>0</v>
      </c>
    </row>
    <row r="66" spans="1:6">
      <c r="A66" s="85"/>
      <c r="B66" s="91"/>
      <c r="C66" s="94"/>
      <c r="D66" s="93"/>
      <c r="E66" s="163"/>
      <c r="F66" s="85"/>
    </row>
    <row r="67" spans="1:6">
      <c r="A67" s="85"/>
      <c r="B67" s="91"/>
      <c r="C67" s="85"/>
      <c r="D67" s="85"/>
      <c r="E67" s="163"/>
      <c r="F67" s="85"/>
    </row>
    <row r="68" spans="1:6">
      <c r="A68" s="85"/>
      <c r="B68" s="91"/>
      <c r="C68" s="85"/>
      <c r="D68" s="85"/>
      <c r="E68" s="163"/>
      <c r="F68" s="85"/>
    </row>
    <row r="69" spans="1:6">
      <c r="A69" s="85"/>
      <c r="B69" s="85"/>
      <c r="C69" s="30"/>
      <c r="D69" s="29"/>
      <c r="E69" s="163"/>
      <c r="F69" s="85"/>
    </row>
    <row r="70" spans="1:6">
      <c r="A70" s="85"/>
      <c r="B70" s="91"/>
      <c r="C70" s="85"/>
      <c r="D70" s="85"/>
      <c r="E70" s="163"/>
      <c r="F70" s="85"/>
    </row>
    <row r="71" spans="1:6" ht="21">
      <c r="A71" s="85"/>
      <c r="B71" s="91"/>
      <c r="C71" s="92" t="s">
        <v>986</v>
      </c>
      <c r="D71" s="85"/>
      <c r="E71" s="163"/>
      <c r="F71" s="85"/>
    </row>
    <row r="72" spans="1:6">
      <c r="A72" s="85"/>
      <c r="B72" s="91"/>
      <c r="C72" s="85"/>
      <c r="D72" s="85"/>
      <c r="E72" s="163"/>
      <c r="F72" s="85"/>
    </row>
    <row r="73" spans="1:6">
      <c r="A73" s="85"/>
      <c r="B73" s="90">
        <v>380</v>
      </c>
      <c r="C73" s="89" t="s">
        <v>985</v>
      </c>
      <c r="D73" s="85"/>
      <c r="E73" s="163"/>
      <c r="F73" s="85">
        <f t="shared" ref="F73:F93" si="1">B73*E73</f>
        <v>0</v>
      </c>
    </row>
    <row r="74" spans="1:6">
      <c r="A74" s="85"/>
      <c r="B74" s="90">
        <v>120</v>
      </c>
      <c r="C74" s="89" t="s">
        <v>984</v>
      </c>
      <c r="D74" s="85"/>
      <c r="E74" s="163"/>
      <c r="F74" s="85">
        <f t="shared" si="1"/>
        <v>0</v>
      </c>
    </row>
    <row r="75" spans="1:6">
      <c r="A75" s="85"/>
      <c r="B75" s="90">
        <v>45</v>
      </c>
      <c r="C75" s="89" t="s">
        <v>983</v>
      </c>
      <c r="D75" s="85"/>
      <c r="E75" s="163"/>
      <c r="F75" s="85">
        <f t="shared" si="1"/>
        <v>0</v>
      </c>
    </row>
    <row r="76" spans="1:6">
      <c r="A76" s="85"/>
      <c r="B76" s="90">
        <v>140</v>
      </c>
      <c r="C76" s="89" t="s">
        <v>982</v>
      </c>
      <c r="D76" s="85"/>
      <c r="E76" s="163"/>
      <c r="F76" s="85">
        <f t="shared" si="1"/>
        <v>0</v>
      </c>
    </row>
    <row r="77" spans="1:6">
      <c r="A77" s="85"/>
      <c r="B77" s="90">
        <v>25</v>
      </c>
      <c r="C77" s="89" t="s">
        <v>981</v>
      </c>
      <c r="D77" s="85"/>
      <c r="E77" s="163"/>
      <c r="F77" s="85">
        <f t="shared" si="1"/>
        <v>0</v>
      </c>
    </row>
    <row r="78" spans="1:6">
      <c r="A78" s="85"/>
      <c r="B78" s="90">
        <v>65</v>
      </c>
      <c r="C78" s="89" t="s">
        <v>980</v>
      </c>
      <c r="D78" s="85"/>
      <c r="E78" s="163"/>
      <c r="F78" s="85">
        <f t="shared" si="1"/>
        <v>0</v>
      </c>
    </row>
    <row r="79" spans="1:6">
      <c r="A79" s="85"/>
      <c r="B79" s="90">
        <v>1</v>
      </c>
      <c r="C79" s="89" t="s">
        <v>979</v>
      </c>
      <c r="D79" s="85"/>
      <c r="E79" s="163"/>
      <c r="F79" s="85">
        <f t="shared" si="1"/>
        <v>0</v>
      </c>
    </row>
    <row r="80" spans="1:6">
      <c r="A80" s="85"/>
      <c r="B80" s="90">
        <v>1</v>
      </c>
      <c r="C80" s="89" t="s">
        <v>978</v>
      </c>
      <c r="D80" s="85"/>
      <c r="E80" s="163"/>
      <c r="F80" s="85">
        <f t="shared" si="1"/>
        <v>0</v>
      </c>
    </row>
    <row r="81" spans="1:6">
      <c r="A81" s="85"/>
      <c r="B81" s="90"/>
      <c r="C81" s="89"/>
      <c r="D81" s="85"/>
      <c r="E81" s="163"/>
      <c r="F81" s="85"/>
    </row>
    <row r="82" spans="1:6">
      <c r="A82" s="85"/>
      <c r="B82" s="90">
        <v>1</v>
      </c>
      <c r="C82" s="89" t="s">
        <v>977</v>
      </c>
      <c r="D82" s="85"/>
      <c r="E82" s="163"/>
      <c r="F82" s="85">
        <f t="shared" si="1"/>
        <v>0</v>
      </c>
    </row>
    <row r="83" spans="1:6">
      <c r="A83" s="85"/>
      <c r="B83" s="87">
        <v>1</v>
      </c>
      <c r="C83" s="88" t="s">
        <v>976</v>
      </c>
      <c r="D83" s="85"/>
      <c r="E83" s="163"/>
      <c r="F83" s="85">
        <f t="shared" si="1"/>
        <v>0</v>
      </c>
    </row>
    <row r="84" spans="1:6">
      <c r="A84" s="85"/>
      <c r="B84" s="87">
        <v>1</v>
      </c>
      <c r="C84" s="86" t="s">
        <v>975</v>
      </c>
      <c r="D84" s="85"/>
      <c r="E84" s="163"/>
      <c r="F84" s="85">
        <f t="shared" si="1"/>
        <v>0</v>
      </c>
    </row>
    <row r="85" spans="1:6">
      <c r="A85" s="85"/>
      <c r="B85" s="87">
        <v>1</v>
      </c>
      <c r="C85" s="86" t="s">
        <v>974</v>
      </c>
      <c r="D85" s="85"/>
      <c r="E85" s="163"/>
      <c r="F85" s="85">
        <f t="shared" si="1"/>
        <v>0</v>
      </c>
    </row>
    <row r="86" spans="1:6">
      <c r="A86" s="85"/>
      <c r="B86" s="87">
        <v>1</v>
      </c>
      <c r="C86" s="86" t="s">
        <v>973</v>
      </c>
      <c r="D86" s="85"/>
      <c r="E86" s="163"/>
      <c r="F86" s="85">
        <f t="shared" si="1"/>
        <v>0</v>
      </c>
    </row>
    <row r="87" spans="1:6">
      <c r="A87" s="85"/>
      <c r="B87" s="87">
        <v>1</v>
      </c>
      <c r="C87" s="86" t="s">
        <v>972</v>
      </c>
      <c r="D87" s="85"/>
      <c r="E87" s="163"/>
      <c r="F87" s="85">
        <f t="shared" si="1"/>
        <v>0</v>
      </c>
    </row>
    <row r="88" spans="1:6">
      <c r="A88" s="85"/>
      <c r="B88" s="87">
        <v>1</v>
      </c>
      <c r="C88" s="86" t="s">
        <v>971</v>
      </c>
      <c r="D88" s="85"/>
      <c r="E88" s="163"/>
      <c r="F88" s="85">
        <f t="shared" si="1"/>
        <v>0</v>
      </c>
    </row>
    <row r="89" spans="1:6">
      <c r="A89" s="85"/>
      <c r="B89" s="87">
        <v>1</v>
      </c>
      <c r="C89" s="86" t="s">
        <v>970</v>
      </c>
      <c r="D89" s="85"/>
      <c r="E89" s="163"/>
      <c r="F89" s="85">
        <f t="shared" si="1"/>
        <v>0</v>
      </c>
    </row>
    <row r="90" spans="1:6">
      <c r="A90" s="85"/>
      <c r="B90" s="87">
        <v>1</v>
      </c>
      <c r="C90" s="86" t="s">
        <v>969</v>
      </c>
      <c r="D90" s="85"/>
      <c r="E90" s="163"/>
      <c r="F90" s="85">
        <f t="shared" si="1"/>
        <v>0</v>
      </c>
    </row>
    <row r="91" spans="1:6">
      <c r="A91" s="85"/>
      <c r="B91" s="87">
        <v>1</v>
      </c>
      <c r="C91" s="86" t="s">
        <v>968</v>
      </c>
      <c r="D91" s="85"/>
      <c r="E91" s="163"/>
      <c r="F91" s="85">
        <f t="shared" si="1"/>
        <v>0</v>
      </c>
    </row>
    <row r="92" spans="1:6">
      <c r="A92" s="85"/>
      <c r="B92" s="87">
        <v>1</v>
      </c>
      <c r="C92" s="86" t="s">
        <v>967</v>
      </c>
      <c r="D92" s="85"/>
      <c r="E92" s="163"/>
      <c r="F92" s="85">
        <f t="shared" si="1"/>
        <v>0</v>
      </c>
    </row>
    <row r="93" spans="1:6">
      <c r="A93" s="82"/>
      <c r="B93" s="84">
        <v>1</v>
      </c>
      <c r="C93" s="83" t="s">
        <v>966</v>
      </c>
      <c r="D93" s="82"/>
      <c r="E93" s="164"/>
      <c r="F93" s="85">
        <f t="shared" si="1"/>
        <v>0</v>
      </c>
    </row>
    <row r="94" spans="1:6">
      <c r="B94" s="81"/>
      <c r="C94" s="80"/>
    </row>
    <row r="95" spans="1:6">
      <c r="B95" s="81"/>
      <c r="C95" s="80"/>
    </row>
    <row r="96" spans="1:6" ht="15.75">
      <c r="B96" s="79" t="s">
        <v>965</v>
      </c>
      <c r="F96" s="76">
        <f>SUM(F4:F93)</f>
        <v>0</v>
      </c>
    </row>
    <row r="97" spans="2:6" ht="15.75">
      <c r="C97" s="78"/>
    </row>
    <row r="98" spans="2:6" ht="15.75">
      <c r="B98" s="78"/>
    </row>
    <row r="99" spans="2:6" ht="15.75">
      <c r="C99" s="78"/>
    </row>
    <row r="100" spans="2:6" ht="15.75">
      <c r="B100" s="78"/>
      <c r="D100" s="78"/>
      <c r="E100" s="165"/>
      <c r="F100" s="78"/>
    </row>
  </sheetData>
  <sheetProtection password="CA38" sheet="1" objects="1" scenarios="1"/>
  <protectedRanges>
    <protectedRange password="C789" sqref="D12:D13" name="Bereich2"/>
    <protectedRange password="C789" sqref="D66" name="Bereich2_8_2_1_4"/>
    <protectedRange password="C789" sqref="D64" name="Bereich2_8_2_12_1_1"/>
    <protectedRange password="C789" sqref="D65" name="Bereich2_8_2_12_1_5"/>
  </protectedRanges>
  <pageMargins left="0.78740157480314965" right="0.78740157480314965" top="0.98425196850393704" bottom="0.98425196850393704" header="0.51181102362204722" footer="0.51181102362204722"/>
  <pageSetup paperSize="9" scale="83" fitToHeight="12" orientation="landscape" r:id="rId1"/>
  <headerFooter>
    <oddFooter>&amp;R&amp;P z &amp;N</oddFooter>
  </headerFooter>
  <rowBreaks count="1" manualBreakCount="1">
    <brk id="2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0" sqref="F40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Souhrnný rozpočet</vt:lpstr>
      <vt:lpstr>D1. Technologie</vt:lpstr>
      <vt:lpstr>D2. MaR</vt:lpstr>
      <vt:lpstr>List2</vt:lpstr>
      <vt:lpstr>'D2. MaR'!Názvy_tisku</vt:lpstr>
      <vt:lpstr>'D1. Technologie'!Oblast_tisku</vt:lpstr>
      <vt:lpstr>'D2. MaR'!Oblast_tisku</vt:lpstr>
      <vt:lpstr>'Souhrnný rozpočet'!Oblast_tisku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</cp:lastModifiedBy>
  <cp:lastPrinted>2015-05-10T12:38:45Z</cp:lastPrinted>
  <dcterms:created xsi:type="dcterms:W3CDTF">2015-05-10T11:11:31Z</dcterms:created>
  <dcterms:modified xsi:type="dcterms:W3CDTF">2015-05-12T14:24:51Z</dcterms:modified>
</cp:coreProperties>
</file>